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Sheet1!$A$2:$G$1150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<sst xmlns="http://schemas.openxmlformats.org/spreadsheetml/2006/main" count="2304" uniqueCount="36">
  <si>
    <t>2024年鹤峰县事业单位第二次专项公开招聘工作人员笔试人员名单</t>
  </si>
  <si>
    <t>序号</t>
  </si>
  <si>
    <t>姓名</t>
  </si>
  <si>
    <t>报考号</t>
  </si>
  <si>
    <t>岗位代码</t>
  </si>
  <si>
    <t>岗位名称</t>
  </si>
  <si>
    <t>招聘单位</t>
  </si>
  <si>
    <t>备注</t>
  </si>
  <si>
    <t>经贸服务岗1</t>
  </si>
  <si>
    <t>鹤峰县商务服务中心（中小企业服务中心）</t>
  </si>
  <si>
    <t>经贸服务岗2</t>
  </si>
  <si>
    <t>经济管理岗</t>
  </si>
  <si>
    <t>鹤峰县养老服务指导中心</t>
  </si>
  <si>
    <t>工程协调岗</t>
  </si>
  <si>
    <t>鹤峰县铁路建设服务中心</t>
  </si>
  <si>
    <t>燃气管理岗</t>
  </si>
  <si>
    <t>鹤峰县市政工程建设管理站</t>
  </si>
  <si>
    <t>西药剂师</t>
  </si>
  <si>
    <t>鹤峰县中心医院</t>
  </si>
  <si>
    <t>临床病理医师</t>
  </si>
  <si>
    <t>鹤峰县中医院</t>
  </si>
  <si>
    <t>超声影像医生</t>
  </si>
  <si>
    <t>鹤峰县铁炉白族乡卫生院</t>
  </si>
  <si>
    <t>财务会计岗</t>
  </si>
  <si>
    <t>鹤峰县邬阳乡财政所</t>
  </si>
  <si>
    <t>地理测绘岗</t>
  </si>
  <si>
    <t>鹤峰县邬阳乡自然资源和规划所</t>
  </si>
  <si>
    <t>财务管理岗</t>
  </si>
  <si>
    <t>鹤峰县五里乡农业农村服务中心</t>
  </si>
  <si>
    <t>综合服务岗1</t>
  </si>
  <si>
    <t>鹤峰县铁炉白族乡农业农村服务中心</t>
  </si>
  <si>
    <t>综合服务岗2</t>
  </si>
  <si>
    <t>鹤峰县铁炉白族乡党群服务中心</t>
  </si>
  <si>
    <t>综合服务岗3</t>
  </si>
  <si>
    <t>鹤峰县铁炉白族乡综合执法中心</t>
  </si>
  <si>
    <t>鹤峰县邬阳乡农业农村服务中心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</si>
</sst>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50"/>
  <sheetViews>
    <sheetView tabSelected="1" workbookViewId="0">
      <selection activeCell="J8" sqref="J8"/>
    </sheetView>
  </sheetViews>
  <sheetFormatPr defaultColWidth="9" defaultRowHeight="13.5" outlineLevelCol="6"/>
  <cols>
    <col min="1" max="1" width="4.375" style="1" customWidth="1"/>
    <col min="2" max="2" width="8.75" style="1" customWidth="1"/>
    <col min="3" max="3" width="20.75" style="1" customWidth="1"/>
    <col min="4" max="4" width="9.875" style="1" customWidth="1"/>
    <col min="5" max="5" width="12.5" style="1" customWidth="1"/>
    <col min="6" max="6" width="33.75" style="1" customWidth="1"/>
    <col min="7" max="7" width="9" style="1" customWidth="1"/>
    <col min="8" max="8" width="9.625" style="1" customWidth="1"/>
    <col min="9" max="16384" width="9" style="1"/>
  </cols>
  <sheetData>
    <row r="1" s="1" customFormat="1" ht="37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2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18" customHeight="1" spans="1:7">
      <c r="A3" s="5">
        <v>1</v>
      </c>
      <c r="B3" s="5" t="str">
        <f>"彭泽程"</f>
        <v>彭泽程</v>
      </c>
      <c r="C3" s="5" t="str">
        <f>"7073202410120946361667"</f>
        <v>7073202410120946361667</v>
      </c>
      <c r="D3" s="5" t="str">
        <f t="shared" ref="D3:D66" si="0">"E2024075"</f>
        <v>E2024075</v>
      </c>
      <c r="E3" s="5" t="s">
        <v>8</v>
      </c>
      <c r="F3" s="5" t="s">
        <v>9</v>
      </c>
      <c r="G3" s="5"/>
    </row>
    <row r="4" s="1" customFormat="1" ht="18" customHeight="1" spans="1:7">
      <c r="A4" s="5">
        <v>2</v>
      </c>
      <c r="B4" s="5" t="str">
        <f>"段红丹"</f>
        <v>段红丹</v>
      </c>
      <c r="C4" s="5" t="str">
        <f>"7073202410121058051930"</f>
        <v>7073202410121058051930</v>
      </c>
      <c r="D4" s="5" t="str">
        <f t="shared" si="0"/>
        <v>E2024075</v>
      </c>
      <c r="E4" s="5" t="s">
        <v>8</v>
      </c>
      <c r="F4" s="5" t="s">
        <v>9</v>
      </c>
      <c r="G4" s="5"/>
    </row>
    <row r="5" s="1" customFormat="1" ht="18" customHeight="1" spans="1:7">
      <c r="A5" s="5">
        <v>3</v>
      </c>
      <c r="B5" s="5" t="str">
        <f>"章鑫鑫"</f>
        <v>章鑫鑫</v>
      </c>
      <c r="C5" s="5" t="str">
        <f>"7073202410121053441918"</f>
        <v>7073202410121053441918</v>
      </c>
      <c r="D5" s="5" t="str">
        <f t="shared" si="0"/>
        <v>E2024075</v>
      </c>
      <c r="E5" s="5" t="s">
        <v>8</v>
      </c>
      <c r="F5" s="5" t="s">
        <v>9</v>
      </c>
      <c r="G5" s="5"/>
    </row>
    <row r="6" s="1" customFormat="1" ht="18" customHeight="1" spans="1:7">
      <c r="A6" s="5">
        <v>4</v>
      </c>
      <c r="B6" s="5" t="str">
        <f>"唐依果"</f>
        <v>唐依果</v>
      </c>
      <c r="C6" s="5" t="str">
        <f>"7073202410121249042224"</f>
        <v>7073202410121249042224</v>
      </c>
      <c r="D6" s="5" t="str">
        <f t="shared" si="0"/>
        <v>E2024075</v>
      </c>
      <c r="E6" s="5" t="s">
        <v>8</v>
      </c>
      <c r="F6" s="5" t="s">
        <v>9</v>
      </c>
      <c r="G6" s="5"/>
    </row>
    <row r="7" s="1" customFormat="1" ht="18" customHeight="1" spans="1:7">
      <c r="A7" s="5">
        <v>5</v>
      </c>
      <c r="B7" s="5" t="str">
        <f>"黄振宇"</f>
        <v>黄振宇</v>
      </c>
      <c r="C7" s="5" t="str">
        <f>"7073202410121227362170"</f>
        <v>7073202410121227362170</v>
      </c>
      <c r="D7" s="5" t="str">
        <f t="shared" si="0"/>
        <v>E2024075</v>
      </c>
      <c r="E7" s="5" t="s">
        <v>8</v>
      </c>
      <c r="F7" s="5" t="s">
        <v>9</v>
      </c>
      <c r="G7" s="5"/>
    </row>
    <row r="8" s="1" customFormat="1" ht="18" customHeight="1" spans="1:7">
      <c r="A8" s="5">
        <v>6</v>
      </c>
      <c r="B8" s="5" t="str">
        <f>"向金秋"</f>
        <v>向金秋</v>
      </c>
      <c r="C8" s="5" t="str">
        <f>"7073202410121349552324"</f>
        <v>7073202410121349552324</v>
      </c>
      <c r="D8" s="5" t="str">
        <f t="shared" si="0"/>
        <v>E2024075</v>
      </c>
      <c r="E8" s="5" t="s">
        <v>8</v>
      </c>
      <c r="F8" s="5" t="s">
        <v>9</v>
      </c>
      <c r="G8" s="5"/>
    </row>
    <row r="9" s="1" customFormat="1" ht="18" customHeight="1" spans="1:7">
      <c r="A9" s="5">
        <v>7</v>
      </c>
      <c r="B9" s="5" t="str">
        <f>"向燊"</f>
        <v>向燊</v>
      </c>
      <c r="C9" s="5" t="str">
        <f>"7073202410121439012408"</f>
        <v>7073202410121439012408</v>
      </c>
      <c r="D9" s="5" t="str">
        <f t="shared" si="0"/>
        <v>E2024075</v>
      </c>
      <c r="E9" s="5" t="s">
        <v>8</v>
      </c>
      <c r="F9" s="5" t="s">
        <v>9</v>
      </c>
      <c r="G9" s="5"/>
    </row>
    <row r="10" s="1" customFormat="1" ht="18" customHeight="1" spans="1:7">
      <c r="A10" s="5">
        <v>8</v>
      </c>
      <c r="B10" s="5" t="str">
        <f>"唐语研"</f>
        <v>唐语研</v>
      </c>
      <c r="C10" s="5" t="str">
        <f>"7073202410121606352595"</f>
        <v>7073202410121606352595</v>
      </c>
      <c r="D10" s="5" t="str">
        <f t="shared" si="0"/>
        <v>E2024075</v>
      </c>
      <c r="E10" s="5" t="s">
        <v>8</v>
      </c>
      <c r="F10" s="5" t="s">
        <v>9</v>
      </c>
      <c r="G10" s="5"/>
    </row>
    <row r="11" s="1" customFormat="1" ht="18" customHeight="1" spans="1:7">
      <c r="A11" s="5">
        <v>9</v>
      </c>
      <c r="B11" s="5" t="str">
        <f>"李佳"</f>
        <v>李佳</v>
      </c>
      <c r="C11" s="5" t="str">
        <f>"7073202410122111473003"</f>
        <v>7073202410122111473003</v>
      </c>
      <c r="D11" s="5" t="str">
        <f t="shared" si="0"/>
        <v>E2024075</v>
      </c>
      <c r="E11" s="5" t="s">
        <v>8</v>
      </c>
      <c r="F11" s="5" t="s">
        <v>9</v>
      </c>
      <c r="G11" s="5"/>
    </row>
    <row r="12" s="1" customFormat="1" ht="18" customHeight="1" spans="1:7">
      <c r="A12" s="5">
        <v>10</v>
      </c>
      <c r="B12" s="5" t="str">
        <f>"蹇星雨"</f>
        <v>蹇星雨</v>
      </c>
      <c r="C12" s="5" t="str">
        <f>"7073202410122053122982"</f>
        <v>7073202410122053122982</v>
      </c>
      <c r="D12" s="5" t="str">
        <f t="shared" si="0"/>
        <v>E2024075</v>
      </c>
      <c r="E12" s="5" t="s">
        <v>8</v>
      </c>
      <c r="F12" s="5" t="s">
        <v>9</v>
      </c>
      <c r="G12" s="5"/>
    </row>
    <row r="13" s="1" customFormat="1" ht="18" customHeight="1" spans="1:7">
      <c r="A13" s="5">
        <v>11</v>
      </c>
      <c r="B13" s="5" t="str">
        <f>"谭学坤"</f>
        <v>谭学坤</v>
      </c>
      <c r="C13" s="5" t="str">
        <f>"7073202410131009503224"</f>
        <v>7073202410131009503224</v>
      </c>
      <c r="D13" s="5" t="str">
        <f t="shared" si="0"/>
        <v>E2024075</v>
      </c>
      <c r="E13" s="5" t="s">
        <v>8</v>
      </c>
      <c r="F13" s="5" t="s">
        <v>9</v>
      </c>
      <c r="G13" s="5"/>
    </row>
    <row r="14" s="1" customFormat="1" ht="18" customHeight="1" spans="1:7">
      <c r="A14" s="5">
        <v>12</v>
      </c>
      <c r="B14" s="5" t="str">
        <f>"周亮"</f>
        <v>周亮</v>
      </c>
      <c r="C14" s="5" t="str">
        <f>"7073202410131156333328"</f>
        <v>7073202410131156333328</v>
      </c>
      <c r="D14" s="5" t="str">
        <f t="shared" si="0"/>
        <v>E2024075</v>
      </c>
      <c r="E14" s="5" t="s">
        <v>8</v>
      </c>
      <c r="F14" s="5" t="s">
        <v>9</v>
      </c>
      <c r="G14" s="5"/>
    </row>
    <row r="15" s="1" customFormat="1" ht="18" customHeight="1" spans="1:7">
      <c r="A15" s="5">
        <v>13</v>
      </c>
      <c r="B15" s="5" t="str">
        <f>"黎述沄"</f>
        <v>黎述沄</v>
      </c>
      <c r="C15" s="5" t="str">
        <f>"7073202410131604573555"</f>
        <v>7073202410131604573555</v>
      </c>
      <c r="D15" s="5" t="str">
        <f t="shared" si="0"/>
        <v>E2024075</v>
      </c>
      <c r="E15" s="5" t="s">
        <v>8</v>
      </c>
      <c r="F15" s="5" t="s">
        <v>9</v>
      </c>
      <c r="G15" s="5"/>
    </row>
    <row r="16" s="1" customFormat="1" ht="18" customHeight="1" spans="1:7">
      <c r="A16" s="5">
        <v>14</v>
      </c>
      <c r="B16" s="5" t="str">
        <f>"刘良波"</f>
        <v>刘良波</v>
      </c>
      <c r="C16" s="5" t="str">
        <f>"7073202410131645363598"</f>
        <v>7073202410131645363598</v>
      </c>
      <c r="D16" s="5" t="str">
        <f t="shared" si="0"/>
        <v>E2024075</v>
      </c>
      <c r="E16" s="5" t="s">
        <v>8</v>
      </c>
      <c r="F16" s="5" t="s">
        <v>9</v>
      </c>
      <c r="G16" s="5"/>
    </row>
    <row r="17" s="1" customFormat="1" ht="18" customHeight="1" spans="1:7">
      <c r="A17" s="5">
        <v>15</v>
      </c>
      <c r="B17" s="5" t="str">
        <f>"朱坤"</f>
        <v>朱坤</v>
      </c>
      <c r="C17" s="5" t="str">
        <f>"7073202410122142053035"</f>
        <v>7073202410122142053035</v>
      </c>
      <c r="D17" s="5" t="str">
        <f t="shared" si="0"/>
        <v>E2024075</v>
      </c>
      <c r="E17" s="5" t="s">
        <v>8</v>
      </c>
      <c r="F17" s="5" t="s">
        <v>9</v>
      </c>
      <c r="G17" s="5"/>
    </row>
    <row r="18" s="1" customFormat="1" ht="18" customHeight="1" spans="1:7">
      <c r="A18" s="5">
        <v>16</v>
      </c>
      <c r="B18" s="5" t="str">
        <f>"覃晓芬"</f>
        <v>覃晓芬</v>
      </c>
      <c r="C18" s="5" t="str">
        <f>"7073202410140958254380"</f>
        <v>7073202410140958254380</v>
      </c>
      <c r="D18" s="5" t="str">
        <f t="shared" si="0"/>
        <v>E2024075</v>
      </c>
      <c r="E18" s="5" t="s">
        <v>8</v>
      </c>
      <c r="F18" s="5" t="s">
        <v>9</v>
      </c>
      <c r="G18" s="5"/>
    </row>
    <row r="19" s="1" customFormat="1" ht="18" customHeight="1" spans="1:7">
      <c r="A19" s="5">
        <v>17</v>
      </c>
      <c r="B19" s="5" t="str">
        <f>"黄薇中"</f>
        <v>黄薇中</v>
      </c>
      <c r="C19" s="5" t="str">
        <f>"7073202410141039134601"</f>
        <v>7073202410141039134601</v>
      </c>
      <c r="D19" s="5" t="str">
        <f t="shared" si="0"/>
        <v>E2024075</v>
      </c>
      <c r="E19" s="5" t="s">
        <v>8</v>
      </c>
      <c r="F19" s="5" t="s">
        <v>9</v>
      </c>
      <c r="G19" s="5"/>
    </row>
    <row r="20" s="1" customFormat="1" ht="18" customHeight="1" spans="1:7">
      <c r="A20" s="5">
        <v>18</v>
      </c>
      <c r="B20" s="5" t="str">
        <f>"王荣"</f>
        <v>王荣</v>
      </c>
      <c r="C20" s="5" t="str">
        <f>"7073202410141124144803"</f>
        <v>7073202410141124144803</v>
      </c>
      <c r="D20" s="5" t="str">
        <f t="shared" si="0"/>
        <v>E2024075</v>
      </c>
      <c r="E20" s="5" t="s">
        <v>8</v>
      </c>
      <c r="F20" s="5" t="s">
        <v>9</v>
      </c>
      <c r="G20" s="5"/>
    </row>
    <row r="21" s="1" customFormat="1" ht="18" customHeight="1" spans="1:7">
      <c r="A21" s="5">
        <v>19</v>
      </c>
      <c r="B21" s="5" t="str">
        <f>"戴名洁"</f>
        <v>戴名洁</v>
      </c>
      <c r="C21" s="5" t="str">
        <f>"7073202410141511525366"</f>
        <v>7073202410141511525366</v>
      </c>
      <c r="D21" s="5" t="str">
        <f t="shared" si="0"/>
        <v>E2024075</v>
      </c>
      <c r="E21" s="5" t="s">
        <v>8</v>
      </c>
      <c r="F21" s="5" t="s">
        <v>9</v>
      </c>
      <c r="G21" s="5"/>
    </row>
    <row r="22" s="1" customFormat="1" ht="18" customHeight="1" spans="1:7">
      <c r="A22" s="5">
        <v>20</v>
      </c>
      <c r="B22" s="5" t="str">
        <f>"冉玉"</f>
        <v>冉玉</v>
      </c>
      <c r="C22" s="5" t="str">
        <f>"7073202410141458055317"</f>
        <v>7073202410141458055317</v>
      </c>
      <c r="D22" s="5" t="str">
        <f t="shared" si="0"/>
        <v>E2024075</v>
      </c>
      <c r="E22" s="5" t="s">
        <v>8</v>
      </c>
      <c r="F22" s="5" t="s">
        <v>9</v>
      </c>
      <c r="G22" s="5"/>
    </row>
    <row r="23" s="1" customFormat="1" ht="18" customHeight="1" spans="1:7">
      <c r="A23" s="5">
        <v>21</v>
      </c>
      <c r="B23" s="5" t="str">
        <f>"谭世坤"</f>
        <v>谭世坤</v>
      </c>
      <c r="C23" s="5" t="str">
        <f>"7073202410142201586252"</f>
        <v>7073202410142201586252</v>
      </c>
      <c r="D23" s="5" t="str">
        <f t="shared" si="0"/>
        <v>E2024075</v>
      </c>
      <c r="E23" s="5" t="s">
        <v>8</v>
      </c>
      <c r="F23" s="5" t="s">
        <v>9</v>
      </c>
      <c r="G23" s="5"/>
    </row>
    <row r="24" s="1" customFormat="1" ht="18" customHeight="1" spans="1:7">
      <c r="A24" s="5">
        <v>22</v>
      </c>
      <c r="B24" s="5" t="str">
        <f>"张可"</f>
        <v>张可</v>
      </c>
      <c r="C24" s="5" t="str">
        <f>"7073202410141915455935"</f>
        <v>7073202410141915455935</v>
      </c>
      <c r="D24" s="5" t="str">
        <f t="shared" si="0"/>
        <v>E2024075</v>
      </c>
      <c r="E24" s="5" t="s">
        <v>8</v>
      </c>
      <c r="F24" s="5" t="s">
        <v>9</v>
      </c>
      <c r="G24" s="5"/>
    </row>
    <row r="25" s="1" customFormat="1" ht="18" customHeight="1" spans="1:7">
      <c r="A25" s="5">
        <v>23</v>
      </c>
      <c r="B25" s="5" t="str">
        <f>"罗岱泓"</f>
        <v>罗岱泓</v>
      </c>
      <c r="C25" s="5" t="str">
        <f>"7073202410132245113894"</f>
        <v>7073202410132245113894</v>
      </c>
      <c r="D25" s="5" t="str">
        <f t="shared" si="0"/>
        <v>E2024075</v>
      </c>
      <c r="E25" s="5" t="s">
        <v>8</v>
      </c>
      <c r="F25" s="5" t="s">
        <v>9</v>
      </c>
      <c r="G25" s="5"/>
    </row>
    <row r="26" s="1" customFormat="1" ht="18" customHeight="1" spans="1:7">
      <c r="A26" s="5">
        <v>24</v>
      </c>
      <c r="B26" s="5" t="str">
        <f>"刘媛"</f>
        <v>刘媛</v>
      </c>
      <c r="C26" s="5" t="str">
        <f>"7073202410150021396376"</f>
        <v>7073202410150021396376</v>
      </c>
      <c r="D26" s="5" t="str">
        <f t="shared" si="0"/>
        <v>E2024075</v>
      </c>
      <c r="E26" s="5" t="s">
        <v>8</v>
      </c>
      <c r="F26" s="5" t="s">
        <v>9</v>
      </c>
      <c r="G26" s="5"/>
    </row>
    <row r="27" s="1" customFormat="1" ht="18" customHeight="1" spans="1:7">
      <c r="A27" s="5">
        <v>25</v>
      </c>
      <c r="B27" s="5" t="str">
        <f>"李昱辛"</f>
        <v>李昱辛</v>
      </c>
      <c r="C27" s="5" t="str">
        <f>"7073202410141520505402"</f>
        <v>7073202410141520505402</v>
      </c>
      <c r="D27" s="5" t="str">
        <f t="shared" si="0"/>
        <v>E2024075</v>
      </c>
      <c r="E27" s="5" t="s">
        <v>8</v>
      </c>
      <c r="F27" s="5" t="s">
        <v>9</v>
      </c>
      <c r="G27" s="5"/>
    </row>
    <row r="28" s="1" customFormat="1" ht="18" customHeight="1" spans="1:7">
      <c r="A28" s="5">
        <v>26</v>
      </c>
      <c r="B28" s="5" t="str">
        <f>"李文静"</f>
        <v>李文静</v>
      </c>
      <c r="C28" s="5" t="str">
        <f>"7073202410151324538010"</f>
        <v>7073202410151324538010</v>
      </c>
      <c r="D28" s="5" t="str">
        <f t="shared" si="0"/>
        <v>E2024075</v>
      </c>
      <c r="E28" s="5" t="s">
        <v>8</v>
      </c>
      <c r="F28" s="5" t="s">
        <v>9</v>
      </c>
      <c r="G28" s="5"/>
    </row>
    <row r="29" s="1" customFormat="1" ht="18" customHeight="1" spans="1:7">
      <c r="A29" s="5">
        <v>27</v>
      </c>
      <c r="B29" s="5" t="str">
        <f>"谢文媛"</f>
        <v>谢文媛</v>
      </c>
      <c r="C29" s="5" t="str">
        <f>"7073202410151601458656"</f>
        <v>7073202410151601458656</v>
      </c>
      <c r="D29" s="5" t="str">
        <f t="shared" si="0"/>
        <v>E2024075</v>
      </c>
      <c r="E29" s="5" t="s">
        <v>8</v>
      </c>
      <c r="F29" s="5" t="s">
        <v>9</v>
      </c>
      <c r="G29" s="5"/>
    </row>
    <row r="30" s="1" customFormat="1" ht="18" customHeight="1" spans="1:7">
      <c r="A30" s="5">
        <v>28</v>
      </c>
      <c r="B30" s="5" t="str">
        <f>"伍秀桃"</f>
        <v>伍秀桃</v>
      </c>
      <c r="C30" s="5" t="str">
        <f>"7073202410151512208420"</f>
        <v>7073202410151512208420</v>
      </c>
      <c r="D30" s="5" t="str">
        <f t="shared" si="0"/>
        <v>E2024075</v>
      </c>
      <c r="E30" s="5" t="s">
        <v>8</v>
      </c>
      <c r="F30" s="5" t="s">
        <v>9</v>
      </c>
      <c r="G30" s="5"/>
    </row>
    <row r="31" s="1" customFormat="1" ht="18" customHeight="1" spans="1:7">
      <c r="A31" s="5">
        <v>29</v>
      </c>
      <c r="B31" s="5" t="str">
        <f>"谷浩"</f>
        <v>谷浩</v>
      </c>
      <c r="C31" s="5" t="str">
        <f>"7073202410151926369355"</f>
        <v>7073202410151926369355</v>
      </c>
      <c r="D31" s="5" t="str">
        <f t="shared" si="0"/>
        <v>E2024075</v>
      </c>
      <c r="E31" s="5" t="s">
        <v>8</v>
      </c>
      <c r="F31" s="5" t="s">
        <v>9</v>
      </c>
      <c r="G31" s="5"/>
    </row>
    <row r="32" s="1" customFormat="1" ht="18" customHeight="1" spans="1:7">
      <c r="A32" s="5">
        <v>30</v>
      </c>
      <c r="B32" s="5" t="str">
        <f>"张启沛"</f>
        <v>张启沛</v>
      </c>
      <c r="C32" s="5" t="str">
        <f>"70732024101609373911027"</f>
        <v>70732024101609373911027</v>
      </c>
      <c r="D32" s="5" t="str">
        <f t="shared" si="0"/>
        <v>E2024075</v>
      </c>
      <c r="E32" s="5" t="s">
        <v>8</v>
      </c>
      <c r="F32" s="5" t="s">
        <v>9</v>
      </c>
      <c r="G32" s="5"/>
    </row>
    <row r="33" s="1" customFormat="1" ht="18" customHeight="1" spans="1:7">
      <c r="A33" s="5">
        <v>31</v>
      </c>
      <c r="B33" s="5" t="str">
        <f>"邓炎美"</f>
        <v>邓炎美</v>
      </c>
      <c r="C33" s="5" t="str">
        <f>"70732024101614390912486"</f>
        <v>70732024101614390912486</v>
      </c>
      <c r="D33" s="5" t="str">
        <f t="shared" si="0"/>
        <v>E2024075</v>
      </c>
      <c r="E33" s="5" t="s">
        <v>8</v>
      </c>
      <c r="F33" s="5" t="s">
        <v>9</v>
      </c>
      <c r="G33" s="5"/>
    </row>
    <row r="34" s="1" customFormat="1" ht="18" customHeight="1" spans="1:7">
      <c r="A34" s="5">
        <v>32</v>
      </c>
      <c r="B34" s="5" t="str">
        <f>"向巧英"</f>
        <v>向巧英</v>
      </c>
      <c r="C34" s="5" t="str">
        <f>"70732024101613594012316"</f>
        <v>70732024101613594012316</v>
      </c>
      <c r="D34" s="5" t="str">
        <f t="shared" si="0"/>
        <v>E2024075</v>
      </c>
      <c r="E34" s="5" t="s">
        <v>8</v>
      </c>
      <c r="F34" s="5" t="s">
        <v>9</v>
      </c>
      <c r="G34" s="5"/>
    </row>
    <row r="35" s="1" customFormat="1" ht="18" customHeight="1" spans="1:7">
      <c r="A35" s="5">
        <v>33</v>
      </c>
      <c r="B35" s="5" t="str">
        <f>"张韩涵"</f>
        <v>张韩涵</v>
      </c>
      <c r="C35" s="5" t="str">
        <f>"70732024101711283416931"</f>
        <v>70732024101711283416931</v>
      </c>
      <c r="D35" s="5" t="str">
        <f t="shared" si="0"/>
        <v>E2024075</v>
      </c>
      <c r="E35" s="5" t="s">
        <v>8</v>
      </c>
      <c r="F35" s="5" t="s">
        <v>9</v>
      </c>
      <c r="G35" s="5"/>
    </row>
    <row r="36" s="1" customFormat="1" ht="18" customHeight="1" spans="1:7">
      <c r="A36" s="5">
        <v>34</v>
      </c>
      <c r="B36" s="5" t="str">
        <f>"邱杰"</f>
        <v>邱杰</v>
      </c>
      <c r="C36" s="5" t="str">
        <f>"70732024101715150718400"</f>
        <v>70732024101715150718400</v>
      </c>
      <c r="D36" s="5" t="str">
        <f t="shared" si="0"/>
        <v>E2024075</v>
      </c>
      <c r="E36" s="5" t="s">
        <v>8</v>
      </c>
      <c r="F36" s="5" t="s">
        <v>9</v>
      </c>
      <c r="G36" s="5"/>
    </row>
    <row r="37" s="1" customFormat="1" ht="18" customHeight="1" spans="1:7">
      <c r="A37" s="5">
        <v>35</v>
      </c>
      <c r="B37" s="5" t="str">
        <f>"米琳达"</f>
        <v>米琳达</v>
      </c>
      <c r="C37" s="5" t="str">
        <f>"70732024101723263721562"</f>
        <v>70732024101723263721562</v>
      </c>
      <c r="D37" s="5" t="str">
        <f t="shared" si="0"/>
        <v>E2024075</v>
      </c>
      <c r="E37" s="5" t="s">
        <v>8</v>
      </c>
      <c r="F37" s="5" t="s">
        <v>9</v>
      </c>
      <c r="G37" s="5"/>
    </row>
    <row r="38" s="1" customFormat="1" ht="18" customHeight="1" spans="1:7">
      <c r="A38" s="5">
        <v>36</v>
      </c>
      <c r="B38" s="5" t="str">
        <f>"白盈盈"</f>
        <v>白盈盈</v>
      </c>
      <c r="C38" s="5" t="str">
        <f>"70732024101801173921734"</f>
        <v>70732024101801173921734</v>
      </c>
      <c r="D38" s="5" t="str">
        <f t="shared" si="0"/>
        <v>E2024075</v>
      </c>
      <c r="E38" s="5" t="s">
        <v>8</v>
      </c>
      <c r="F38" s="5" t="s">
        <v>9</v>
      </c>
      <c r="G38" s="5"/>
    </row>
    <row r="39" s="1" customFormat="1" ht="18" customHeight="1" spans="1:7">
      <c r="A39" s="5">
        <v>37</v>
      </c>
      <c r="B39" s="5" t="str">
        <f>"全会"</f>
        <v>全会</v>
      </c>
      <c r="C39" s="5" t="str">
        <f>"70732024101814165524468"</f>
        <v>70732024101814165524468</v>
      </c>
      <c r="D39" s="5" t="str">
        <f t="shared" si="0"/>
        <v>E2024075</v>
      </c>
      <c r="E39" s="5" t="s">
        <v>8</v>
      </c>
      <c r="F39" s="5" t="s">
        <v>9</v>
      </c>
      <c r="G39" s="5"/>
    </row>
    <row r="40" s="1" customFormat="1" ht="18" customHeight="1" spans="1:7">
      <c r="A40" s="5">
        <v>38</v>
      </c>
      <c r="B40" s="5" t="str">
        <f>"李鸿升"</f>
        <v>李鸿升</v>
      </c>
      <c r="C40" s="5" t="str">
        <f>"70732024101817174425813"</f>
        <v>70732024101817174425813</v>
      </c>
      <c r="D40" s="5" t="str">
        <f t="shared" si="0"/>
        <v>E2024075</v>
      </c>
      <c r="E40" s="5" t="s">
        <v>8</v>
      </c>
      <c r="F40" s="5" t="s">
        <v>9</v>
      </c>
      <c r="G40" s="5"/>
    </row>
    <row r="41" s="1" customFormat="1" ht="18" customHeight="1" spans="1:7">
      <c r="A41" s="5">
        <v>39</v>
      </c>
      <c r="B41" s="5" t="str">
        <f>"潘致妤"</f>
        <v>潘致妤</v>
      </c>
      <c r="C41" s="5" t="str">
        <f>"70732024101819284226685"</f>
        <v>70732024101819284226685</v>
      </c>
      <c r="D41" s="5" t="str">
        <f t="shared" si="0"/>
        <v>E2024075</v>
      </c>
      <c r="E41" s="5" t="s">
        <v>8</v>
      </c>
      <c r="F41" s="5" t="s">
        <v>9</v>
      </c>
      <c r="G41" s="5"/>
    </row>
    <row r="42" s="1" customFormat="1" ht="18" customHeight="1" spans="1:7">
      <c r="A42" s="5">
        <v>40</v>
      </c>
      <c r="B42" s="5" t="str">
        <f>"邢菲"</f>
        <v>邢菲</v>
      </c>
      <c r="C42" s="5" t="str">
        <f>"70732024101910580828263"</f>
        <v>70732024101910580828263</v>
      </c>
      <c r="D42" s="5" t="str">
        <f t="shared" si="0"/>
        <v>E2024075</v>
      </c>
      <c r="E42" s="5" t="s">
        <v>8</v>
      </c>
      <c r="F42" s="5" t="s">
        <v>9</v>
      </c>
      <c r="G42" s="5"/>
    </row>
    <row r="43" s="1" customFormat="1" ht="18" customHeight="1" spans="1:7">
      <c r="A43" s="5">
        <v>41</v>
      </c>
      <c r="B43" s="5" t="str">
        <f>"王雨"</f>
        <v>王雨</v>
      </c>
      <c r="C43" s="5" t="str">
        <f>"70732024101923174330460"</f>
        <v>70732024101923174330460</v>
      </c>
      <c r="D43" s="5" t="str">
        <f t="shared" si="0"/>
        <v>E2024075</v>
      </c>
      <c r="E43" s="5" t="s">
        <v>8</v>
      </c>
      <c r="F43" s="5" t="s">
        <v>9</v>
      </c>
      <c r="G43" s="5"/>
    </row>
    <row r="44" s="1" customFormat="1" ht="18" customHeight="1" spans="1:7">
      <c r="A44" s="5">
        <v>42</v>
      </c>
      <c r="B44" s="5" t="str">
        <f>"廖伟"</f>
        <v>廖伟</v>
      </c>
      <c r="C44" s="5" t="str">
        <f>"7073202410122057212985"</f>
        <v>7073202410122057212985</v>
      </c>
      <c r="D44" s="5" t="str">
        <f t="shared" si="0"/>
        <v>E2024075</v>
      </c>
      <c r="E44" s="5" t="s">
        <v>8</v>
      </c>
      <c r="F44" s="5" t="s">
        <v>9</v>
      </c>
      <c r="G44" s="5"/>
    </row>
    <row r="45" s="1" customFormat="1" ht="18" customHeight="1" spans="1:7">
      <c r="A45" s="5">
        <v>43</v>
      </c>
      <c r="B45" s="5" t="str">
        <f>"姜玉龙"</f>
        <v>姜玉龙</v>
      </c>
      <c r="C45" s="5" t="str">
        <f>"70732024102110253735563"</f>
        <v>70732024102110253735563</v>
      </c>
      <c r="D45" s="5" t="str">
        <f t="shared" si="0"/>
        <v>E2024075</v>
      </c>
      <c r="E45" s="5" t="s">
        <v>8</v>
      </c>
      <c r="F45" s="5" t="s">
        <v>9</v>
      </c>
      <c r="G45" s="5"/>
    </row>
    <row r="46" s="1" customFormat="1" ht="18" customHeight="1" spans="1:7">
      <c r="A46" s="5">
        <v>44</v>
      </c>
      <c r="B46" s="5" t="str">
        <f>"杨本蔚"</f>
        <v>杨本蔚</v>
      </c>
      <c r="C46" s="5" t="str">
        <f>"70732024102110260435572"</f>
        <v>70732024102110260435572</v>
      </c>
      <c r="D46" s="5" t="str">
        <f t="shared" si="0"/>
        <v>E2024075</v>
      </c>
      <c r="E46" s="5" t="s">
        <v>8</v>
      </c>
      <c r="F46" s="5" t="s">
        <v>9</v>
      </c>
      <c r="G46" s="5"/>
    </row>
    <row r="47" s="1" customFormat="1" ht="18" customHeight="1" spans="1:7">
      <c r="A47" s="5">
        <v>45</v>
      </c>
      <c r="B47" s="5" t="str">
        <f>"罗荧"</f>
        <v>罗荧</v>
      </c>
      <c r="C47" s="5" t="str">
        <f>"70732024102110411235838"</f>
        <v>70732024102110411235838</v>
      </c>
      <c r="D47" s="5" t="str">
        <f t="shared" si="0"/>
        <v>E2024075</v>
      </c>
      <c r="E47" s="5" t="s">
        <v>8</v>
      </c>
      <c r="F47" s="5" t="s">
        <v>9</v>
      </c>
      <c r="G47" s="5"/>
    </row>
    <row r="48" s="1" customFormat="1" ht="18" customHeight="1" spans="1:7">
      <c r="A48" s="5">
        <v>46</v>
      </c>
      <c r="B48" s="5" t="str">
        <f>"张瀚文"</f>
        <v>张瀚文</v>
      </c>
      <c r="C48" s="5" t="str">
        <f>"70732024102110474135940"</f>
        <v>70732024102110474135940</v>
      </c>
      <c r="D48" s="5" t="str">
        <f t="shared" si="0"/>
        <v>E2024075</v>
      </c>
      <c r="E48" s="5" t="s">
        <v>8</v>
      </c>
      <c r="F48" s="5" t="s">
        <v>9</v>
      </c>
      <c r="G48" s="5"/>
    </row>
    <row r="49" s="1" customFormat="1" ht="18" customHeight="1" spans="1:7">
      <c r="A49" s="5">
        <v>47</v>
      </c>
      <c r="B49" s="5" t="str">
        <f>"左家波"</f>
        <v>左家波</v>
      </c>
      <c r="C49" s="5" t="str">
        <f>"70732024102110451535897"</f>
        <v>70732024102110451535897</v>
      </c>
      <c r="D49" s="5" t="str">
        <f t="shared" si="0"/>
        <v>E2024075</v>
      </c>
      <c r="E49" s="5" t="s">
        <v>8</v>
      </c>
      <c r="F49" s="5" t="s">
        <v>9</v>
      </c>
      <c r="G49" s="5"/>
    </row>
    <row r="50" s="1" customFormat="1" ht="18" customHeight="1" spans="1:7">
      <c r="A50" s="5">
        <v>48</v>
      </c>
      <c r="B50" s="5" t="str">
        <f>"周静"</f>
        <v>周静</v>
      </c>
      <c r="C50" s="5" t="str">
        <f>"70732024102116513540067"</f>
        <v>70732024102116513540067</v>
      </c>
      <c r="D50" s="5" t="str">
        <f t="shared" si="0"/>
        <v>E2024075</v>
      </c>
      <c r="E50" s="5" t="s">
        <v>8</v>
      </c>
      <c r="F50" s="5" t="s">
        <v>9</v>
      </c>
      <c r="G50" s="5"/>
    </row>
    <row r="51" s="1" customFormat="1" ht="18" customHeight="1" spans="1:7">
      <c r="A51" s="5">
        <v>49</v>
      </c>
      <c r="B51" s="5" t="str">
        <f>"杨美龄"</f>
        <v>杨美龄</v>
      </c>
      <c r="C51" s="5" t="str">
        <f>"70732024102117131140328"</f>
        <v>70732024102117131140328</v>
      </c>
      <c r="D51" s="5" t="str">
        <f t="shared" si="0"/>
        <v>E2024075</v>
      </c>
      <c r="E51" s="5" t="s">
        <v>8</v>
      </c>
      <c r="F51" s="5" t="s">
        <v>9</v>
      </c>
      <c r="G51" s="5"/>
    </row>
    <row r="52" s="1" customFormat="1" ht="18" customHeight="1" spans="1:7">
      <c r="A52" s="5">
        <v>50</v>
      </c>
      <c r="B52" s="5" t="str">
        <f>"刘陈"</f>
        <v>刘陈</v>
      </c>
      <c r="C52" s="5" t="str">
        <f>"70732024102209320943961"</f>
        <v>70732024102209320943961</v>
      </c>
      <c r="D52" s="5" t="str">
        <f t="shared" si="0"/>
        <v>E2024075</v>
      </c>
      <c r="E52" s="5" t="s">
        <v>8</v>
      </c>
      <c r="F52" s="5" t="s">
        <v>9</v>
      </c>
      <c r="G52" s="5"/>
    </row>
    <row r="53" s="1" customFormat="1" ht="18" customHeight="1" spans="1:7">
      <c r="A53" s="5">
        <v>51</v>
      </c>
      <c r="B53" s="5" t="str">
        <f>"黄彦雯"</f>
        <v>黄彦雯</v>
      </c>
      <c r="C53" s="5" t="str">
        <f>"70732024102219501849031"</f>
        <v>70732024102219501849031</v>
      </c>
      <c r="D53" s="5" t="str">
        <f t="shared" si="0"/>
        <v>E2024075</v>
      </c>
      <c r="E53" s="5" t="s">
        <v>8</v>
      </c>
      <c r="F53" s="5" t="s">
        <v>9</v>
      </c>
      <c r="G53" s="5"/>
    </row>
    <row r="54" s="1" customFormat="1" ht="18" customHeight="1" spans="1:7">
      <c r="A54" s="5">
        <v>52</v>
      </c>
      <c r="B54" s="5" t="str">
        <f>"朱娇燕"</f>
        <v>朱娇燕</v>
      </c>
      <c r="C54" s="5" t="str">
        <f>"7073202410150015506372"</f>
        <v>7073202410150015506372</v>
      </c>
      <c r="D54" s="5" t="str">
        <f t="shared" si="0"/>
        <v>E2024075</v>
      </c>
      <c r="E54" s="5" t="s">
        <v>8</v>
      </c>
      <c r="F54" s="5" t="s">
        <v>9</v>
      </c>
      <c r="G54" s="5"/>
    </row>
    <row r="55" s="1" customFormat="1" ht="18" customHeight="1" spans="1:7">
      <c r="A55" s="5">
        <v>53</v>
      </c>
      <c r="B55" s="5" t="str">
        <f>"周景萍"</f>
        <v>周景萍</v>
      </c>
      <c r="C55" s="5" t="str">
        <f>"70732024101711353116996"</f>
        <v>70732024101711353116996</v>
      </c>
      <c r="D55" s="5" t="str">
        <f t="shared" si="0"/>
        <v>E2024075</v>
      </c>
      <c r="E55" s="5" t="s">
        <v>8</v>
      </c>
      <c r="F55" s="5" t="s">
        <v>9</v>
      </c>
      <c r="G55" s="5"/>
    </row>
    <row r="56" s="1" customFormat="1" ht="18" customHeight="1" spans="1:7">
      <c r="A56" s="5">
        <v>54</v>
      </c>
      <c r="B56" s="5" t="str">
        <f>"张坤平"</f>
        <v>张坤平</v>
      </c>
      <c r="C56" s="5" t="str">
        <f>"70732024102310362253529"</f>
        <v>70732024102310362253529</v>
      </c>
      <c r="D56" s="5" t="str">
        <f t="shared" si="0"/>
        <v>E2024075</v>
      </c>
      <c r="E56" s="5" t="s">
        <v>8</v>
      </c>
      <c r="F56" s="5" t="s">
        <v>9</v>
      </c>
      <c r="G56" s="5"/>
    </row>
    <row r="57" s="1" customFormat="1" ht="18" customHeight="1" spans="1:7">
      <c r="A57" s="5">
        <v>55</v>
      </c>
      <c r="B57" s="5" t="str">
        <f>"宁龙吟"</f>
        <v>宁龙吟</v>
      </c>
      <c r="C57" s="5" t="str">
        <f>"70732024102312162055029"</f>
        <v>70732024102312162055029</v>
      </c>
      <c r="D57" s="5" t="str">
        <f t="shared" si="0"/>
        <v>E2024075</v>
      </c>
      <c r="E57" s="5" t="s">
        <v>8</v>
      </c>
      <c r="F57" s="5" t="s">
        <v>9</v>
      </c>
      <c r="G57" s="5"/>
    </row>
    <row r="58" s="1" customFormat="1" ht="18" customHeight="1" spans="1:7">
      <c r="A58" s="5">
        <v>56</v>
      </c>
      <c r="B58" s="5" t="str">
        <f>"汪璇"</f>
        <v>汪璇</v>
      </c>
      <c r="C58" s="5" t="str">
        <f>"70732024102318544859865"</f>
        <v>70732024102318544859865</v>
      </c>
      <c r="D58" s="5" t="str">
        <f t="shared" si="0"/>
        <v>E2024075</v>
      </c>
      <c r="E58" s="5" t="s">
        <v>8</v>
      </c>
      <c r="F58" s="5" t="s">
        <v>9</v>
      </c>
      <c r="G58" s="5"/>
    </row>
    <row r="59" s="1" customFormat="1" ht="18" customHeight="1" spans="1:7">
      <c r="A59" s="5">
        <v>57</v>
      </c>
      <c r="B59" s="5" t="str">
        <f>"涂泉"</f>
        <v>涂泉</v>
      </c>
      <c r="C59" s="5" t="str">
        <f>"70732024102320460061090"</f>
        <v>70732024102320460061090</v>
      </c>
      <c r="D59" s="5" t="str">
        <f t="shared" si="0"/>
        <v>E2024075</v>
      </c>
      <c r="E59" s="5" t="s">
        <v>8</v>
      </c>
      <c r="F59" s="5" t="s">
        <v>9</v>
      </c>
      <c r="G59" s="5"/>
    </row>
    <row r="60" s="1" customFormat="1" ht="18" customHeight="1" spans="1:7">
      <c r="A60" s="5">
        <v>58</v>
      </c>
      <c r="B60" s="5" t="str">
        <f>"何欢"</f>
        <v>何欢</v>
      </c>
      <c r="C60" s="5" t="str">
        <f>"70732024102321201261529"</f>
        <v>70732024102321201261529</v>
      </c>
      <c r="D60" s="5" t="str">
        <f t="shared" si="0"/>
        <v>E2024075</v>
      </c>
      <c r="E60" s="5" t="s">
        <v>8</v>
      </c>
      <c r="F60" s="5" t="s">
        <v>9</v>
      </c>
      <c r="G60" s="5"/>
    </row>
    <row r="61" s="1" customFormat="1" ht="18" customHeight="1" spans="1:7">
      <c r="A61" s="5">
        <v>59</v>
      </c>
      <c r="B61" s="5" t="str">
        <f>"严薇"</f>
        <v>严薇</v>
      </c>
      <c r="C61" s="5" t="str">
        <f>"70732024102300344250726"</f>
        <v>70732024102300344250726</v>
      </c>
      <c r="D61" s="5" t="str">
        <f t="shared" si="0"/>
        <v>E2024075</v>
      </c>
      <c r="E61" s="5" t="s">
        <v>8</v>
      </c>
      <c r="F61" s="5" t="s">
        <v>9</v>
      </c>
      <c r="G61" s="5"/>
    </row>
    <row r="62" s="1" customFormat="1" ht="18" customHeight="1" spans="1:7">
      <c r="A62" s="5">
        <v>60</v>
      </c>
      <c r="B62" s="5" t="str">
        <f>"龙宇"</f>
        <v>龙宇</v>
      </c>
      <c r="C62" s="5" t="str">
        <f>"70732024102412451766351"</f>
        <v>70732024102412451766351</v>
      </c>
      <c r="D62" s="5" t="str">
        <f t="shared" si="0"/>
        <v>E2024075</v>
      </c>
      <c r="E62" s="5" t="s">
        <v>8</v>
      </c>
      <c r="F62" s="5" t="s">
        <v>9</v>
      </c>
      <c r="G62" s="5"/>
    </row>
    <row r="63" s="1" customFormat="1" ht="18" customHeight="1" spans="1:7">
      <c r="A63" s="5">
        <v>61</v>
      </c>
      <c r="B63" s="5" t="str">
        <f>"谈红"</f>
        <v>谈红</v>
      </c>
      <c r="C63" s="5" t="str">
        <f>"70732024102413053766538"</f>
        <v>70732024102413053766538</v>
      </c>
      <c r="D63" s="5" t="str">
        <f t="shared" si="0"/>
        <v>E2024075</v>
      </c>
      <c r="E63" s="5" t="s">
        <v>8</v>
      </c>
      <c r="F63" s="5" t="s">
        <v>9</v>
      </c>
      <c r="G63" s="5"/>
    </row>
    <row r="64" s="1" customFormat="1" ht="18" customHeight="1" spans="1:7">
      <c r="A64" s="5">
        <v>62</v>
      </c>
      <c r="B64" s="5" t="str">
        <f>"廖梦希"</f>
        <v>廖梦希</v>
      </c>
      <c r="C64" s="5" t="str">
        <f>"70732024102413420166845"</f>
        <v>70732024102413420166845</v>
      </c>
      <c r="D64" s="5" t="str">
        <f t="shared" si="0"/>
        <v>E2024075</v>
      </c>
      <c r="E64" s="5" t="s">
        <v>8</v>
      </c>
      <c r="F64" s="5" t="s">
        <v>9</v>
      </c>
      <c r="G64" s="5"/>
    </row>
    <row r="65" s="1" customFormat="1" ht="18" customHeight="1" spans="1:7">
      <c r="A65" s="5">
        <v>63</v>
      </c>
      <c r="B65" s="5" t="str">
        <f>"王咸香"</f>
        <v>王咸香</v>
      </c>
      <c r="C65" s="5" t="str">
        <f>"70732024102421000571147"</f>
        <v>70732024102421000571147</v>
      </c>
      <c r="D65" s="5" t="str">
        <f t="shared" si="0"/>
        <v>E2024075</v>
      </c>
      <c r="E65" s="5" t="s">
        <v>8</v>
      </c>
      <c r="F65" s="5" t="s">
        <v>9</v>
      </c>
      <c r="G65" s="5"/>
    </row>
    <row r="66" s="1" customFormat="1" ht="18" customHeight="1" spans="1:7">
      <c r="A66" s="5">
        <v>64</v>
      </c>
      <c r="B66" s="5" t="str">
        <f>"陈红"</f>
        <v>陈红</v>
      </c>
      <c r="C66" s="5" t="str">
        <f>"70732024102422191671896"</f>
        <v>70732024102422191671896</v>
      </c>
      <c r="D66" s="5" t="str">
        <f t="shared" si="0"/>
        <v>E2024075</v>
      </c>
      <c r="E66" s="5" t="s">
        <v>8</v>
      </c>
      <c r="F66" s="5" t="s">
        <v>9</v>
      </c>
      <c r="G66" s="5"/>
    </row>
    <row r="67" s="1" customFormat="1" ht="18" customHeight="1" spans="1:7">
      <c r="A67" s="5">
        <v>65</v>
      </c>
      <c r="B67" s="5" t="str">
        <f>"黄萍"</f>
        <v>黄萍</v>
      </c>
      <c r="C67" s="5" t="str">
        <f>"70732024102412540266436"</f>
        <v>70732024102412540266436</v>
      </c>
      <c r="D67" s="5" t="str">
        <f t="shared" ref="D67:D69" si="1">"E2024075"</f>
        <v>E2024075</v>
      </c>
      <c r="E67" s="5" t="s">
        <v>8</v>
      </c>
      <c r="F67" s="5" t="s">
        <v>9</v>
      </c>
      <c r="G67" s="5"/>
    </row>
    <row r="68" s="1" customFormat="1" ht="18" customHeight="1" spans="1:7">
      <c r="A68" s="5">
        <v>66</v>
      </c>
      <c r="B68" s="5" t="str">
        <f>"张桂芳"</f>
        <v>张桂芳</v>
      </c>
      <c r="C68" s="5" t="str">
        <f>"70732024102515040076703"</f>
        <v>70732024102515040076703</v>
      </c>
      <c r="D68" s="5" t="str">
        <f t="shared" si="1"/>
        <v>E2024075</v>
      </c>
      <c r="E68" s="5" t="s">
        <v>8</v>
      </c>
      <c r="F68" s="5" t="s">
        <v>9</v>
      </c>
      <c r="G68" s="5"/>
    </row>
    <row r="69" s="1" customFormat="1" ht="18" customHeight="1" spans="1:7">
      <c r="A69" s="5">
        <v>67</v>
      </c>
      <c r="B69" s="5" t="str">
        <f>"罗浩"</f>
        <v>罗浩</v>
      </c>
      <c r="C69" s="5" t="str">
        <f>"70732024102515232476937"</f>
        <v>70732024102515232476937</v>
      </c>
      <c r="D69" s="5" t="str">
        <f t="shared" si="1"/>
        <v>E2024075</v>
      </c>
      <c r="E69" s="5" t="s">
        <v>8</v>
      </c>
      <c r="F69" s="5" t="s">
        <v>9</v>
      </c>
      <c r="G69" s="5"/>
    </row>
    <row r="70" s="1" customFormat="1" ht="18" customHeight="1" spans="1:7">
      <c r="A70" s="5">
        <v>68</v>
      </c>
      <c r="B70" s="5" t="str">
        <f>"向翔"</f>
        <v>向翔</v>
      </c>
      <c r="C70" s="5" t="str">
        <f>"7073202410131019493231"</f>
        <v>7073202410131019493231</v>
      </c>
      <c r="D70" s="5" t="str">
        <f t="shared" ref="D70:D74" si="2">"E2024076"</f>
        <v>E2024076</v>
      </c>
      <c r="E70" s="5" t="s">
        <v>10</v>
      </c>
      <c r="F70" s="5" t="s">
        <v>9</v>
      </c>
      <c r="G70" s="5"/>
    </row>
    <row r="71" s="1" customFormat="1" ht="18" customHeight="1" spans="1:7">
      <c r="A71" s="5">
        <v>69</v>
      </c>
      <c r="B71" s="5" t="str">
        <f>"黄露"</f>
        <v>黄露</v>
      </c>
      <c r="C71" s="5" t="str">
        <f>"7073202410151458158340"</f>
        <v>7073202410151458158340</v>
      </c>
      <c r="D71" s="5" t="str">
        <f t="shared" si="2"/>
        <v>E2024076</v>
      </c>
      <c r="E71" s="5" t="s">
        <v>10</v>
      </c>
      <c r="F71" s="5" t="s">
        <v>9</v>
      </c>
      <c r="G71" s="5"/>
    </row>
    <row r="72" s="1" customFormat="1" ht="18" customHeight="1" spans="1:7">
      <c r="A72" s="5">
        <v>70</v>
      </c>
      <c r="B72" s="5" t="str">
        <f>"张韶化"</f>
        <v>张韶化</v>
      </c>
      <c r="C72" s="5" t="str">
        <f>"7073202410142148126232"</f>
        <v>7073202410142148126232</v>
      </c>
      <c r="D72" s="5" t="str">
        <f t="shared" si="2"/>
        <v>E2024076</v>
      </c>
      <c r="E72" s="5" t="s">
        <v>10</v>
      </c>
      <c r="F72" s="5" t="s">
        <v>9</v>
      </c>
      <c r="G72" s="5"/>
    </row>
    <row r="73" s="1" customFormat="1" ht="18" customHeight="1" spans="1:7">
      <c r="A73" s="5">
        <v>71</v>
      </c>
      <c r="B73" s="5" t="str">
        <f>"吴双"</f>
        <v>吴双</v>
      </c>
      <c r="C73" s="5" t="str">
        <f>"70732024101619445514300"</f>
        <v>70732024101619445514300</v>
      </c>
      <c r="D73" s="5" t="str">
        <f t="shared" si="2"/>
        <v>E2024076</v>
      </c>
      <c r="E73" s="5" t="s">
        <v>10</v>
      </c>
      <c r="F73" s="5" t="s">
        <v>9</v>
      </c>
      <c r="G73" s="5"/>
    </row>
    <row r="74" s="1" customFormat="1" ht="18" customHeight="1" spans="1:7">
      <c r="A74" s="5">
        <v>72</v>
      </c>
      <c r="B74" s="5" t="str">
        <f>"吴雨涵"</f>
        <v>吴雨涵</v>
      </c>
      <c r="C74" s="5" t="str">
        <f>"70732024102311000253961"</f>
        <v>70732024102311000253961</v>
      </c>
      <c r="D74" s="5" t="str">
        <f t="shared" si="2"/>
        <v>E2024076</v>
      </c>
      <c r="E74" s="5" t="s">
        <v>10</v>
      </c>
      <c r="F74" s="5" t="s">
        <v>9</v>
      </c>
      <c r="G74" s="5"/>
    </row>
    <row r="75" s="1" customFormat="1" ht="18" customHeight="1" spans="1:7">
      <c r="A75" s="5">
        <v>73</v>
      </c>
      <c r="B75" s="5" t="str">
        <f>"黄宇"</f>
        <v>黄宇</v>
      </c>
      <c r="C75" s="5" t="str">
        <f>"7073202410120900581462"</f>
        <v>7073202410120900581462</v>
      </c>
      <c r="D75" s="5" t="str">
        <f t="shared" ref="D75:D138" si="3">"E2024077"</f>
        <v>E2024077</v>
      </c>
      <c r="E75" s="5" t="s">
        <v>11</v>
      </c>
      <c r="F75" s="5" t="s">
        <v>12</v>
      </c>
      <c r="G75" s="5"/>
    </row>
    <row r="76" s="1" customFormat="1" ht="18" customHeight="1" spans="1:7">
      <c r="A76" s="5">
        <v>74</v>
      </c>
      <c r="B76" s="5" t="str">
        <f>"刘卓"</f>
        <v>刘卓</v>
      </c>
      <c r="C76" s="5" t="str">
        <f>"7073202410120906541504"</f>
        <v>7073202410120906541504</v>
      </c>
      <c r="D76" s="5" t="str">
        <f t="shared" si="3"/>
        <v>E2024077</v>
      </c>
      <c r="E76" s="5" t="s">
        <v>11</v>
      </c>
      <c r="F76" s="5" t="s">
        <v>12</v>
      </c>
      <c r="G76" s="5"/>
    </row>
    <row r="77" s="1" customFormat="1" ht="18" customHeight="1" spans="1:7">
      <c r="A77" s="5">
        <v>75</v>
      </c>
      <c r="B77" s="5" t="str">
        <f>"向北江"</f>
        <v>向北江</v>
      </c>
      <c r="C77" s="5" t="str">
        <f>"7073202410120908061511"</f>
        <v>7073202410120908061511</v>
      </c>
      <c r="D77" s="5" t="str">
        <f t="shared" si="3"/>
        <v>E2024077</v>
      </c>
      <c r="E77" s="5" t="s">
        <v>11</v>
      </c>
      <c r="F77" s="5" t="s">
        <v>12</v>
      </c>
      <c r="G77" s="5"/>
    </row>
    <row r="78" s="1" customFormat="1" ht="18" customHeight="1" spans="1:7">
      <c r="A78" s="5">
        <v>76</v>
      </c>
      <c r="B78" s="5" t="str">
        <f>"向尹"</f>
        <v>向尹</v>
      </c>
      <c r="C78" s="5" t="str">
        <f>"7073202410120922551581"</f>
        <v>7073202410120922551581</v>
      </c>
      <c r="D78" s="5" t="str">
        <f t="shared" si="3"/>
        <v>E2024077</v>
      </c>
      <c r="E78" s="5" t="s">
        <v>11</v>
      </c>
      <c r="F78" s="5" t="s">
        <v>12</v>
      </c>
      <c r="G78" s="5"/>
    </row>
    <row r="79" s="1" customFormat="1" ht="18" customHeight="1" spans="1:7">
      <c r="A79" s="5">
        <v>77</v>
      </c>
      <c r="B79" s="5" t="str">
        <f>"谭豆"</f>
        <v>谭豆</v>
      </c>
      <c r="C79" s="5" t="str">
        <f>"7073202410120911001527"</f>
        <v>7073202410120911001527</v>
      </c>
      <c r="D79" s="5" t="str">
        <f t="shared" si="3"/>
        <v>E2024077</v>
      </c>
      <c r="E79" s="5" t="s">
        <v>11</v>
      </c>
      <c r="F79" s="5" t="s">
        <v>12</v>
      </c>
      <c r="G79" s="5"/>
    </row>
    <row r="80" s="1" customFormat="1" ht="18" customHeight="1" spans="1:7">
      <c r="A80" s="5">
        <v>78</v>
      </c>
      <c r="B80" s="5" t="str">
        <f>"杨皓"</f>
        <v>杨皓</v>
      </c>
      <c r="C80" s="5" t="str">
        <f>"7073202410120914211546"</f>
        <v>7073202410120914211546</v>
      </c>
      <c r="D80" s="5" t="str">
        <f t="shared" si="3"/>
        <v>E2024077</v>
      </c>
      <c r="E80" s="5" t="s">
        <v>11</v>
      </c>
      <c r="F80" s="5" t="s">
        <v>12</v>
      </c>
      <c r="G80" s="5"/>
    </row>
    <row r="81" s="1" customFormat="1" ht="18" customHeight="1" spans="1:7">
      <c r="A81" s="5">
        <v>79</v>
      </c>
      <c r="B81" s="5" t="str">
        <f>"田南秋"</f>
        <v>田南秋</v>
      </c>
      <c r="C81" s="5" t="str">
        <f>"7073202410121006161757"</f>
        <v>7073202410121006161757</v>
      </c>
      <c r="D81" s="5" t="str">
        <f t="shared" si="3"/>
        <v>E2024077</v>
      </c>
      <c r="E81" s="5" t="s">
        <v>11</v>
      </c>
      <c r="F81" s="5" t="s">
        <v>12</v>
      </c>
      <c r="G81" s="5"/>
    </row>
    <row r="82" s="1" customFormat="1" ht="18" customHeight="1" spans="1:7">
      <c r="A82" s="5">
        <v>80</v>
      </c>
      <c r="B82" s="5" t="str">
        <f>"鄢显浩"</f>
        <v>鄢显浩</v>
      </c>
      <c r="C82" s="5" t="str">
        <f>"7073202410121004261748"</f>
        <v>7073202410121004261748</v>
      </c>
      <c r="D82" s="5" t="str">
        <f t="shared" si="3"/>
        <v>E2024077</v>
      </c>
      <c r="E82" s="5" t="s">
        <v>11</v>
      </c>
      <c r="F82" s="5" t="s">
        <v>12</v>
      </c>
      <c r="G82" s="5"/>
    </row>
    <row r="83" s="1" customFormat="1" ht="18" customHeight="1" spans="1:7">
      <c r="A83" s="5">
        <v>81</v>
      </c>
      <c r="B83" s="5" t="str">
        <f>"吴谦"</f>
        <v>吴谦</v>
      </c>
      <c r="C83" s="5" t="str">
        <f>"7073202410121019001805"</f>
        <v>7073202410121019001805</v>
      </c>
      <c r="D83" s="5" t="str">
        <f t="shared" si="3"/>
        <v>E2024077</v>
      </c>
      <c r="E83" s="5" t="s">
        <v>11</v>
      </c>
      <c r="F83" s="5" t="s">
        <v>12</v>
      </c>
      <c r="G83" s="5"/>
    </row>
    <row r="84" s="1" customFormat="1" ht="18" customHeight="1" spans="1:7">
      <c r="A84" s="5">
        <v>82</v>
      </c>
      <c r="B84" s="5" t="str">
        <f>"秦鹏"</f>
        <v>秦鹏</v>
      </c>
      <c r="C84" s="5" t="str">
        <f>"7073202410121022581821"</f>
        <v>7073202410121022581821</v>
      </c>
      <c r="D84" s="5" t="str">
        <f t="shared" si="3"/>
        <v>E2024077</v>
      </c>
      <c r="E84" s="5" t="s">
        <v>11</v>
      </c>
      <c r="F84" s="5" t="s">
        <v>12</v>
      </c>
      <c r="G84" s="5"/>
    </row>
    <row r="85" s="1" customFormat="1" ht="18" customHeight="1" spans="1:7">
      <c r="A85" s="5">
        <v>83</v>
      </c>
      <c r="B85" s="5" t="str">
        <f>"谭棋文"</f>
        <v>谭棋文</v>
      </c>
      <c r="C85" s="5" t="str">
        <f>"7073202410121121252005"</f>
        <v>7073202410121121252005</v>
      </c>
      <c r="D85" s="5" t="str">
        <f t="shared" si="3"/>
        <v>E2024077</v>
      </c>
      <c r="E85" s="5" t="s">
        <v>11</v>
      </c>
      <c r="F85" s="5" t="s">
        <v>12</v>
      </c>
      <c r="G85" s="5"/>
    </row>
    <row r="86" s="1" customFormat="1" ht="18" customHeight="1" spans="1:7">
      <c r="A86" s="5">
        <v>84</v>
      </c>
      <c r="B86" s="5" t="str">
        <f>"邓青元"</f>
        <v>邓青元</v>
      </c>
      <c r="C86" s="5" t="str">
        <f>"7073202410121144082072"</f>
        <v>7073202410121144082072</v>
      </c>
      <c r="D86" s="5" t="str">
        <f t="shared" si="3"/>
        <v>E2024077</v>
      </c>
      <c r="E86" s="5" t="s">
        <v>11</v>
      </c>
      <c r="F86" s="5" t="s">
        <v>12</v>
      </c>
      <c r="G86" s="5"/>
    </row>
    <row r="87" s="1" customFormat="1" ht="18" customHeight="1" spans="1:7">
      <c r="A87" s="5">
        <v>85</v>
      </c>
      <c r="B87" s="5" t="str">
        <f>"易乾英"</f>
        <v>易乾英</v>
      </c>
      <c r="C87" s="5" t="str">
        <f>"7073202410121145052075"</f>
        <v>7073202410121145052075</v>
      </c>
      <c r="D87" s="5" t="str">
        <f t="shared" si="3"/>
        <v>E2024077</v>
      </c>
      <c r="E87" s="5" t="s">
        <v>11</v>
      </c>
      <c r="F87" s="5" t="s">
        <v>12</v>
      </c>
      <c r="G87" s="5"/>
    </row>
    <row r="88" s="1" customFormat="1" ht="18" customHeight="1" spans="1:7">
      <c r="A88" s="5">
        <v>86</v>
      </c>
      <c r="B88" s="5" t="str">
        <f>"陈鸿"</f>
        <v>陈鸿</v>
      </c>
      <c r="C88" s="5" t="str">
        <f>"7073202410121242242207"</f>
        <v>7073202410121242242207</v>
      </c>
      <c r="D88" s="5" t="str">
        <f t="shared" si="3"/>
        <v>E2024077</v>
      </c>
      <c r="E88" s="5" t="s">
        <v>11</v>
      </c>
      <c r="F88" s="5" t="s">
        <v>12</v>
      </c>
      <c r="G88" s="5"/>
    </row>
    <row r="89" s="1" customFormat="1" ht="18" customHeight="1" spans="1:7">
      <c r="A89" s="5">
        <v>87</v>
      </c>
      <c r="B89" s="5" t="str">
        <f>"陈晗"</f>
        <v>陈晗</v>
      </c>
      <c r="C89" s="5" t="str">
        <f>"7073202410121307422254"</f>
        <v>7073202410121307422254</v>
      </c>
      <c r="D89" s="5" t="str">
        <f t="shared" si="3"/>
        <v>E2024077</v>
      </c>
      <c r="E89" s="5" t="s">
        <v>11</v>
      </c>
      <c r="F89" s="5" t="s">
        <v>12</v>
      </c>
      <c r="G89" s="5"/>
    </row>
    <row r="90" s="1" customFormat="1" ht="18" customHeight="1" spans="1:7">
      <c r="A90" s="5">
        <v>88</v>
      </c>
      <c r="B90" s="5" t="str">
        <f>"黄敏"</f>
        <v>黄敏</v>
      </c>
      <c r="C90" s="5" t="str">
        <f>"7073202410121205032123"</f>
        <v>7073202410121205032123</v>
      </c>
      <c r="D90" s="5" t="str">
        <f t="shared" si="3"/>
        <v>E2024077</v>
      </c>
      <c r="E90" s="5" t="s">
        <v>11</v>
      </c>
      <c r="F90" s="5" t="s">
        <v>12</v>
      </c>
      <c r="G90" s="5"/>
    </row>
    <row r="91" s="1" customFormat="1" ht="18" customHeight="1" spans="1:7">
      <c r="A91" s="5">
        <v>89</v>
      </c>
      <c r="B91" s="5" t="str">
        <f>"殷礼杰"</f>
        <v>殷礼杰</v>
      </c>
      <c r="C91" s="5" t="str">
        <f>"7073202410121408582355"</f>
        <v>7073202410121408582355</v>
      </c>
      <c r="D91" s="5" t="str">
        <f t="shared" si="3"/>
        <v>E2024077</v>
      </c>
      <c r="E91" s="5" t="s">
        <v>11</v>
      </c>
      <c r="F91" s="5" t="s">
        <v>12</v>
      </c>
      <c r="G91" s="5"/>
    </row>
    <row r="92" s="1" customFormat="1" ht="18" customHeight="1" spans="1:7">
      <c r="A92" s="5">
        <v>90</v>
      </c>
      <c r="B92" s="5" t="str">
        <f>"徐洁"</f>
        <v>徐洁</v>
      </c>
      <c r="C92" s="5" t="str">
        <f>"7073202410121440022411"</f>
        <v>7073202410121440022411</v>
      </c>
      <c r="D92" s="5" t="str">
        <f t="shared" si="3"/>
        <v>E2024077</v>
      </c>
      <c r="E92" s="5" t="s">
        <v>11</v>
      </c>
      <c r="F92" s="5" t="s">
        <v>12</v>
      </c>
      <c r="G92" s="5"/>
    </row>
    <row r="93" s="1" customFormat="1" ht="18" customHeight="1" spans="1:7">
      <c r="A93" s="5">
        <v>91</v>
      </c>
      <c r="B93" s="5" t="str">
        <f>"龚琴"</f>
        <v>龚琴</v>
      </c>
      <c r="C93" s="5" t="str">
        <f>"7073202410121519182494"</f>
        <v>7073202410121519182494</v>
      </c>
      <c r="D93" s="5" t="str">
        <f t="shared" si="3"/>
        <v>E2024077</v>
      </c>
      <c r="E93" s="5" t="s">
        <v>11</v>
      </c>
      <c r="F93" s="5" t="s">
        <v>12</v>
      </c>
      <c r="G93" s="5"/>
    </row>
    <row r="94" s="1" customFormat="1" ht="18" customHeight="1" spans="1:7">
      <c r="A94" s="5">
        <v>92</v>
      </c>
      <c r="B94" s="5" t="str">
        <f>"幸凌云"</f>
        <v>幸凌云</v>
      </c>
      <c r="C94" s="5" t="str">
        <f>"7073202410121535472524"</f>
        <v>7073202410121535472524</v>
      </c>
      <c r="D94" s="5" t="str">
        <f t="shared" si="3"/>
        <v>E2024077</v>
      </c>
      <c r="E94" s="5" t="s">
        <v>11</v>
      </c>
      <c r="F94" s="5" t="s">
        <v>12</v>
      </c>
      <c r="G94" s="5"/>
    </row>
    <row r="95" s="1" customFormat="1" ht="18" customHeight="1" spans="1:7">
      <c r="A95" s="5">
        <v>93</v>
      </c>
      <c r="B95" s="5" t="str">
        <f>"刘振名"</f>
        <v>刘振名</v>
      </c>
      <c r="C95" s="5" t="str">
        <f>"7073202410121637322665"</f>
        <v>7073202410121637322665</v>
      </c>
      <c r="D95" s="5" t="str">
        <f t="shared" si="3"/>
        <v>E2024077</v>
      </c>
      <c r="E95" s="5" t="s">
        <v>11</v>
      </c>
      <c r="F95" s="5" t="s">
        <v>12</v>
      </c>
      <c r="G95" s="5"/>
    </row>
    <row r="96" s="1" customFormat="1" ht="18" customHeight="1" spans="1:7">
      <c r="A96" s="5">
        <v>94</v>
      </c>
      <c r="B96" s="5" t="str">
        <f>"王硕"</f>
        <v>王硕</v>
      </c>
      <c r="C96" s="5" t="str">
        <f>"7073202410121000211731"</f>
        <v>7073202410121000211731</v>
      </c>
      <c r="D96" s="5" t="str">
        <f t="shared" si="3"/>
        <v>E2024077</v>
      </c>
      <c r="E96" s="5" t="s">
        <v>11</v>
      </c>
      <c r="F96" s="5" t="s">
        <v>12</v>
      </c>
      <c r="G96" s="5"/>
    </row>
    <row r="97" s="1" customFormat="1" ht="18" customHeight="1" spans="1:7">
      <c r="A97" s="5">
        <v>95</v>
      </c>
      <c r="B97" s="5" t="str">
        <f>"王雯"</f>
        <v>王雯</v>
      </c>
      <c r="C97" s="5" t="str">
        <f>"7073202410121647132685"</f>
        <v>7073202410121647132685</v>
      </c>
      <c r="D97" s="5" t="str">
        <f t="shared" si="3"/>
        <v>E2024077</v>
      </c>
      <c r="E97" s="5" t="s">
        <v>11</v>
      </c>
      <c r="F97" s="5" t="s">
        <v>12</v>
      </c>
      <c r="G97" s="5"/>
    </row>
    <row r="98" s="1" customFormat="1" ht="18" customHeight="1" spans="1:7">
      <c r="A98" s="5">
        <v>96</v>
      </c>
      <c r="B98" s="5" t="str">
        <f>"徐铭穗"</f>
        <v>徐铭穗</v>
      </c>
      <c r="C98" s="5" t="str">
        <f>"7073202410121641122674"</f>
        <v>7073202410121641122674</v>
      </c>
      <c r="D98" s="5" t="str">
        <f t="shared" si="3"/>
        <v>E2024077</v>
      </c>
      <c r="E98" s="5" t="s">
        <v>11</v>
      </c>
      <c r="F98" s="5" t="s">
        <v>12</v>
      </c>
      <c r="G98" s="5"/>
    </row>
    <row r="99" s="1" customFormat="1" ht="18" customHeight="1" spans="1:7">
      <c r="A99" s="5">
        <v>97</v>
      </c>
      <c r="B99" s="5" t="str">
        <f>"郑填"</f>
        <v>郑填</v>
      </c>
      <c r="C99" s="5" t="str">
        <f>"7073202410121809512796"</f>
        <v>7073202410121809512796</v>
      </c>
      <c r="D99" s="5" t="str">
        <f t="shared" si="3"/>
        <v>E2024077</v>
      </c>
      <c r="E99" s="5" t="s">
        <v>11</v>
      </c>
      <c r="F99" s="5" t="s">
        <v>12</v>
      </c>
      <c r="G99" s="5"/>
    </row>
    <row r="100" s="1" customFormat="1" ht="18" customHeight="1" spans="1:7">
      <c r="A100" s="5">
        <v>98</v>
      </c>
      <c r="B100" s="5" t="str">
        <f>"田秘"</f>
        <v>田秘</v>
      </c>
      <c r="C100" s="5" t="str">
        <f>"7073202410121806272790"</f>
        <v>7073202410121806272790</v>
      </c>
      <c r="D100" s="5" t="str">
        <f t="shared" si="3"/>
        <v>E2024077</v>
      </c>
      <c r="E100" s="5" t="s">
        <v>11</v>
      </c>
      <c r="F100" s="5" t="s">
        <v>12</v>
      </c>
      <c r="G100" s="5"/>
    </row>
    <row r="101" s="1" customFormat="1" ht="18" customHeight="1" spans="1:7">
      <c r="A101" s="5">
        <v>99</v>
      </c>
      <c r="B101" s="5" t="str">
        <f>"徐雯霞"</f>
        <v>徐雯霞</v>
      </c>
      <c r="C101" s="5" t="str">
        <f>"7073202410121829392817"</f>
        <v>7073202410121829392817</v>
      </c>
      <c r="D101" s="5" t="str">
        <f t="shared" si="3"/>
        <v>E2024077</v>
      </c>
      <c r="E101" s="5" t="s">
        <v>11</v>
      </c>
      <c r="F101" s="5" t="s">
        <v>12</v>
      </c>
      <c r="G101" s="5"/>
    </row>
    <row r="102" s="1" customFormat="1" ht="18" customHeight="1" spans="1:7">
      <c r="A102" s="5">
        <v>100</v>
      </c>
      <c r="B102" s="5" t="str">
        <f>"曾祥谷雨"</f>
        <v>曾祥谷雨</v>
      </c>
      <c r="C102" s="5" t="str">
        <f>"7073202410120940581647"</f>
        <v>7073202410120940581647</v>
      </c>
      <c r="D102" s="5" t="str">
        <f t="shared" si="3"/>
        <v>E2024077</v>
      </c>
      <c r="E102" s="5" t="s">
        <v>11</v>
      </c>
      <c r="F102" s="5" t="s">
        <v>12</v>
      </c>
      <c r="G102" s="5"/>
    </row>
    <row r="103" s="1" customFormat="1" ht="18" customHeight="1" spans="1:7">
      <c r="A103" s="5">
        <v>101</v>
      </c>
      <c r="B103" s="5" t="str">
        <f>"赵迪馨"</f>
        <v>赵迪馨</v>
      </c>
      <c r="C103" s="5" t="str">
        <f>"7073202410122046262975"</f>
        <v>7073202410122046262975</v>
      </c>
      <c r="D103" s="5" t="str">
        <f t="shared" si="3"/>
        <v>E2024077</v>
      </c>
      <c r="E103" s="5" t="s">
        <v>11</v>
      </c>
      <c r="F103" s="5" t="s">
        <v>12</v>
      </c>
      <c r="G103" s="5"/>
    </row>
    <row r="104" s="1" customFormat="1" ht="18" customHeight="1" spans="1:7">
      <c r="A104" s="5">
        <v>102</v>
      </c>
      <c r="B104" s="5" t="str">
        <f>"张儒琳"</f>
        <v>张儒琳</v>
      </c>
      <c r="C104" s="5" t="str">
        <f>"7073202410122219213066"</f>
        <v>7073202410122219213066</v>
      </c>
      <c r="D104" s="5" t="str">
        <f t="shared" si="3"/>
        <v>E2024077</v>
      </c>
      <c r="E104" s="5" t="s">
        <v>11</v>
      </c>
      <c r="F104" s="5" t="s">
        <v>12</v>
      </c>
      <c r="G104" s="5"/>
    </row>
    <row r="105" s="1" customFormat="1" ht="18" customHeight="1" spans="1:7">
      <c r="A105" s="5">
        <v>103</v>
      </c>
      <c r="B105" s="5" t="str">
        <f>"李泫"</f>
        <v>李泫</v>
      </c>
      <c r="C105" s="5" t="str">
        <f>"7073202410122224163068"</f>
        <v>7073202410122224163068</v>
      </c>
      <c r="D105" s="5" t="str">
        <f t="shared" si="3"/>
        <v>E2024077</v>
      </c>
      <c r="E105" s="5" t="s">
        <v>11</v>
      </c>
      <c r="F105" s="5" t="s">
        <v>12</v>
      </c>
      <c r="G105" s="5"/>
    </row>
    <row r="106" s="1" customFormat="1" ht="18" customHeight="1" spans="1:7">
      <c r="A106" s="5">
        <v>104</v>
      </c>
      <c r="B106" s="5" t="str">
        <f>"尹亚奇"</f>
        <v>尹亚奇</v>
      </c>
      <c r="C106" s="5" t="str">
        <f>"7073202410122237003080"</f>
        <v>7073202410122237003080</v>
      </c>
      <c r="D106" s="5" t="str">
        <f t="shared" si="3"/>
        <v>E2024077</v>
      </c>
      <c r="E106" s="5" t="s">
        <v>11</v>
      </c>
      <c r="F106" s="5" t="s">
        <v>12</v>
      </c>
      <c r="G106" s="5"/>
    </row>
    <row r="107" s="1" customFormat="1" ht="18" customHeight="1" spans="1:7">
      <c r="A107" s="5">
        <v>105</v>
      </c>
      <c r="B107" s="5" t="str">
        <f>"彭芸"</f>
        <v>彭芸</v>
      </c>
      <c r="C107" s="5" t="str">
        <f>"7073202410130813003149"</f>
        <v>7073202410130813003149</v>
      </c>
      <c r="D107" s="5" t="str">
        <f t="shared" si="3"/>
        <v>E2024077</v>
      </c>
      <c r="E107" s="5" t="s">
        <v>11</v>
      </c>
      <c r="F107" s="5" t="s">
        <v>12</v>
      </c>
      <c r="G107" s="5"/>
    </row>
    <row r="108" s="1" customFormat="1" ht="18" customHeight="1" spans="1:7">
      <c r="A108" s="5">
        <v>106</v>
      </c>
      <c r="B108" s="5" t="str">
        <f>"李晓夏"</f>
        <v>李晓夏</v>
      </c>
      <c r="C108" s="5" t="str">
        <f>"7073202410130852543162"</f>
        <v>7073202410130852543162</v>
      </c>
      <c r="D108" s="5" t="str">
        <f t="shared" si="3"/>
        <v>E2024077</v>
      </c>
      <c r="E108" s="5" t="s">
        <v>11</v>
      </c>
      <c r="F108" s="5" t="s">
        <v>12</v>
      </c>
      <c r="G108" s="5"/>
    </row>
    <row r="109" s="1" customFormat="1" ht="18" customHeight="1" spans="1:7">
      <c r="A109" s="5">
        <v>107</v>
      </c>
      <c r="B109" s="5" t="str">
        <f>"唐佳佳"</f>
        <v>唐佳佳</v>
      </c>
      <c r="C109" s="5" t="str">
        <f>"7073202410131040143254"</f>
        <v>7073202410131040143254</v>
      </c>
      <c r="D109" s="5" t="str">
        <f t="shared" si="3"/>
        <v>E2024077</v>
      </c>
      <c r="E109" s="5" t="s">
        <v>11</v>
      </c>
      <c r="F109" s="5" t="s">
        <v>12</v>
      </c>
      <c r="G109" s="5"/>
    </row>
    <row r="110" s="1" customFormat="1" ht="18" customHeight="1" spans="1:7">
      <c r="A110" s="5">
        <v>108</v>
      </c>
      <c r="B110" s="5" t="str">
        <f>"覃琼"</f>
        <v>覃琼</v>
      </c>
      <c r="C110" s="5" t="str">
        <f>"7073202410121106331957"</f>
        <v>7073202410121106331957</v>
      </c>
      <c r="D110" s="5" t="str">
        <f t="shared" si="3"/>
        <v>E2024077</v>
      </c>
      <c r="E110" s="5" t="s">
        <v>11</v>
      </c>
      <c r="F110" s="5" t="s">
        <v>12</v>
      </c>
      <c r="G110" s="5"/>
    </row>
    <row r="111" s="1" customFormat="1" ht="18" customHeight="1" spans="1:7">
      <c r="A111" s="5">
        <v>109</v>
      </c>
      <c r="B111" s="5" t="str">
        <f>"闫胜炳"</f>
        <v>闫胜炳</v>
      </c>
      <c r="C111" s="5" t="str">
        <f>"7073202410131102203266"</f>
        <v>7073202410131102203266</v>
      </c>
      <c r="D111" s="5" t="str">
        <f t="shared" si="3"/>
        <v>E2024077</v>
      </c>
      <c r="E111" s="5" t="s">
        <v>11</v>
      </c>
      <c r="F111" s="5" t="s">
        <v>12</v>
      </c>
      <c r="G111" s="5"/>
    </row>
    <row r="112" s="1" customFormat="1" ht="18" customHeight="1" spans="1:7">
      <c r="A112" s="5">
        <v>110</v>
      </c>
      <c r="B112" s="5" t="str">
        <f>"马晓艺"</f>
        <v>马晓艺</v>
      </c>
      <c r="C112" s="5" t="str">
        <f>"7073202410131214003345"</f>
        <v>7073202410131214003345</v>
      </c>
      <c r="D112" s="5" t="str">
        <f t="shared" si="3"/>
        <v>E2024077</v>
      </c>
      <c r="E112" s="5" t="s">
        <v>11</v>
      </c>
      <c r="F112" s="5" t="s">
        <v>12</v>
      </c>
      <c r="G112" s="5"/>
    </row>
    <row r="113" s="1" customFormat="1" ht="18" customHeight="1" spans="1:7">
      <c r="A113" s="5">
        <v>111</v>
      </c>
      <c r="B113" s="5" t="str">
        <f>"朱友权"</f>
        <v>朱友权</v>
      </c>
      <c r="C113" s="5" t="str">
        <f>"7073202410131227023356"</f>
        <v>7073202410131227023356</v>
      </c>
      <c r="D113" s="5" t="str">
        <f t="shared" si="3"/>
        <v>E2024077</v>
      </c>
      <c r="E113" s="5" t="s">
        <v>11</v>
      </c>
      <c r="F113" s="5" t="s">
        <v>12</v>
      </c>
      <c r="G113" s="5"/>
    </row>
    <row r="114" s="1" customFormat="1" ht="18" customHeight="1" spans="1:7">
      <c r="A114" s="5">
        <v>112</v>
      </c>
      <c r="B114" s="5" t="str">
        <f>"黄意婷"</f>
        <v>黄意婷</v>
      </c>
      <c r="C114" s="5" t="str">
        <f>"7073202410130948353209"</f>
        <v>7073202410130948353209</v>
      </c>
      <c r="D114" s="5" t="str">
        <f t="shared" si="3"/>
        <v>E2024077</v>
      </c>
      <c r="E114" s="5" t="s">
        <v>11</v>
      </c>
      <c r="F114" s="5" t="s">
        <v>12</v>
      </c>
      <c r="G114" s="5"/>
    </row>
    <row r="115" s="1" customFormat="1" ht="18" customHeight="1" spans="1:7">
      <c r="A115" s="5">
        <v>113</v>
      </c>
      <c r="B115" s="5" t="str">
        <f>"刘媛"</f>
        <v>刘媛</v>
      </c>
      <c r="C115" s="5" t="str">
        <f>"7073202410131247513381"</f>
        <v>7073202410131247513381</v>
      </c>
      <c r="D115" s="5" t="str">
        <f t="shared" si="3"/>
        <v>E2024077</v>
      </c>
      <c r="E115" s="5" t="s">
        <v>11</v>
      </c>
      <c r="F115" s="5" t="s">
        <v>12</v>
      </c>
      <c r="G115" s="5"/>
    </row>
    <row r="116" s="1" customFormat="1" ht="18" customHeight="1" spans="1:7">
      <c r="A116" s="5">
        <v>114</v>
      </c>
      <c r="B116" s="5" t="str">
        <f>"滕橙"</f>
        <v>滕橙</v>
      </c>
      <c r="C116" s="5" t="str">
        <f>"7073202410131015353228"</f>
        <v>7073202410131015353228</v>
      </c>
      <c r="D116" s="5" t="str">
        <f t="shared" si="3"/>
        <v>E2024077</v>
      </c>
      <c r="E116" s="5" t="s">
        <v>11</v>
      </c>
      <c r="F116" s="5" t="s">
        <v>12</v>
      </c>
      <c r="G116" s="5"/>
    </row>
    <row r="117" s="1" customFormat="1" ht="18" customHeight="1" spans="1:7">
      <c r="A117" s="5">
        <v>115</v>
      </c>
      <c r="B117" s="5" t="str">
        <f>"杨文旭"</f>
        <v>杨文旭</v>
      </c>
      <c r="C117" s="5" t="str">
        <f>"7073202410131414083454"</f>
        <v>7073202410131414083454</v>
      </c>
      <c r="D117" s="5" t="str">
        <f t="shared" si="3"/>
        <v>E2024077</v>
      </c>
      <c r="E117" s="5" t="s">
        <v>11</v>
      </c>
      <c r="F117" s="5" t="s">
        <v>12</v>
      </c>
      <c r="G117" s="5"/>
    </row>
    <row r="118" s="1" customFormat="1" ht="18" customHeight="1" spans="1:7">
      <c r="A118" s="5">
        <v>116</v>
      </c>
      <c r="B118" s="5" t="str">
        <f>"黄生贇"</f>
        <v>黄生贇</v>
      </c>
      <c r="C118" s="5" t="str">
        <f>"7073202410131116073286"</f>
        <v>7073202410131116073286</v>
      </c>
      <c r="D118" s="5" t="str">
        <f t="shared" si="3"/>
        <v>E2024077</v>
      </c>
      <c r="E118" s="5" t="s">
        <v>11</v>
      </c>
      <c r="F118" s="5" t="s">
        <v>12</v>
      </c>
      <c r="G118" s="5"/>
    </row>
    <row r="119" s="1" customFormat="1" ht="18" customHeight="1" spans="1:7">
      <c r="A119" s="5">
        <v>117</v>
      </c>
      <c r="B119" s="5" t="str">
        <f>"吴世骏"</f>
        <v>吴世骏</v>
      </c>
      <c r="C119" s="5" t="str">
        <f>"7073202410131456423485"</f>
        <v>7073202410131456423485</v>
      </c>
      <c r="D119" s="5" t="str">
        <f t="shared" si="3"/>
        <v>E2024077</v>
      </c>
      <c r="E119" s="5" t="s">
        <v>11</v>
      </c>
      <c r="F119" s="5" t="s">
        <v>12</v>
      </c>
      <c r="G119" s="5"/>
    </row>
    <row r="120" s="1" customFormat="1" ht="18" customHeight="1" spans="1:7">
      <c r="A120" s="5">
        <v>118</v>
      </c>
      <c r="B120" s="5" t="str">
        <f>"李奎"</f>
        <v>李奎</v>
      </c>
      <c r="C120" s="5" t="str">
        <f>"7073202410131846333692"</f>
        <v>7073202410131846333692</v>
      </c>
      <c r="D120" s="5" t="str">
        <f t="shared" si="3"/>
        <v>E2024077</v>
      </c>
      <c r="E120" s="5" t="s">
        <v>11</v>
      </c>
      <c r="F120" s="5" t="s">
        <v>12</v>
      </c>
      <c r="G120" s="5"/>
    </row>
    <row r="121" s="1" customFormat="1" ht="18" customHeight="1" spans="1:7">
      <c r="A121" s="5">
        <v>119</v>
      </c>
      <c r="B121" s="5" t="str">
        <f>"刘煜"</f>
        <v>刘煜</v>
      </c>
      <c r="C121" s="5" t="str">
        <f>"7073202410131846513694"</f>
        <v>7073202410131846513694</v>
      </c>
      <c r="D121" s="5" t="str">
        <f t="shared" si="3"/>
        <v>E2024077</v>
      </c>
      <c r="E121" s="5" t="s">
        <v>11</v>
      </c>
      <c r="F121" s="5" t="s">
        <v>12</v>
      </c>
      <c r="G121" s="5"/>
    </row>
    <row r="122" s="1" customFormat="1" ht="18" customHeight="1" spans="1:7">
      <c r="A122" s="5">
        <v>120</v>
      </c>
      <c r="B122" s="5" t="str">
        <f>"朱丽蓉"</f>
        <v>朱丽蓉</v>
      </c>
      <c r="C122" s="5" t="str">
        <f>"7073202410131840523685"</f>
        <v>7073202410131840523685</v>
      </c>
      <c r="D122" s="5" t="str">
        <f t="shared" si="3"/>
        <v>E2024077</v>
      </c>
      <c r="E122" s="5" t="s">
        <v>11</v>
      </c>
      <c r="F122" s="5" t="s">
        <v>12</v>
      </c>
      <c r="G122" s="5"/>
    </row>
    <row r="123" s="1" customFormat="1" ht="18" customHeight="1" spans="1:7">
      <c r="A123" s="5">
        <v>121</v>
      </c>
      <c r="B123" s="5" t="str">
        <f>"刘海锋"</f>
        <v>刘海锋</v>
      </c>
      <c r="C123" s="5" t="str">
        <f>"7073202410132108523821"</f>
        <v>7073202410132108523821</v>
      </c>
      <c r="D123" s="5" t="str">
        <f t="shared" si="3"/>
        <v>E2024077</v>
      </c>
      <c r="E123" s="5" t="s">
        <v>11</v>
      </c>
      <c r="F123" s="5" t="s">
        <v>12</v>
      </c>
      <c r="G123" s="5"/>
    </row>
    <row r="124" s="1" customFormat="1" ht="18" customHeight="1" spans="1:7">
      <c r="A124" s="5">
        <v>122</v>
      </c>
      <c r="B124" s="5" t="str">
        <f>"李梦溪"</f>
        <v>李梦溪</v>
      </c>
      <c r="C124" s="5" t="str">
        <f>"7073202410120947411673"</f>
        <v>7073202410120947411673</v>
      </c>
      <c r="D124" s="5" t="str">
        <f t="shared" si="3"/>
        <v>E2024077</v>
      </c>
      <c r="E124" s="5" t="s">
        <v>11</v>
      </c>
      <c r="F124" s="5" t="s">
        <v>12</v>
      </c>
      <c r="G124" s="5"/>
    </row>
    <row r="125" s="1" customFormat="1" ht="18" customHeight="1" spans="1:7">
      <c r="A125" s="5">
        <v>123</v>
      </c>
      <c r="B125" s="5" t="str">
        <f>"周桂林"</f>
        <v>周桂林</v>
      </c>
      <c r="C125" s="5" t="str">
        <f>"7073202410141050574669"</f>
        <v>7073202410141050574669</v>
      </c>
      <c r="D125" s="5" t="str">
        <f t="shared" si="3"/>
        <v>E2024077</v>
      </c>
      <c r="E125" s="5" t="s">
        <v>11</v>
      </c>
      <c r="F125" s="5" t="s">
        <v>12</v>
      </c>
      <c r="G125" s="5"/>
    </row>
    <row r="126" s="1" customFormat="1" ht="18" customHeight="1" spans="1:7">
      <c r="A126" s="5">
        <v>124</v>
      </c>
      <c r="B126" s="5" t="str">
        <f>"彭筱峰"</f>
        <v>彭筱峰</v>
      </c>
      <c r="C126" s="5" t="str">
        <f>"7073202410141147104876"</f>
        <v>7073202410141147104876</v>
      </c>
      <c r="D126" s="5" t="str">
        <f t="shared" si="3"/>
        <v>E2024077</v>
      </c>
      <c r="E126" s="5" t="s">
        <v>11</v>
      </c>
      <c r="F126" s="5" t="s">
        <v>12</v>
      </c>
      <c r="G126" s="5"/>
    </row>
    <row r="127" s="1" customFormat="1" ht="18" customHeight="1" spans="1:7">
      <c r="A127" s="5">
        <v>125</v>
      </c>
      <c r="B127" s="5" t="str">
        <f>"陈思源"</f>
        <v>陈思源</v>
      </c>
      <c r="C127" s="5" t="str">
        <f>"7073202410141154524900"</f>
        <v>7073202410141154524900</v>
      </c>
      <c r="D127" s="5" t="str">
        <f t="shared" si="3"/>
        <v>E2024077</v>
      </c>
      <c r="E127" s="5" t="s">
        <v>11</v>
      </c>
      <c r="F127" s="5" t="s">
        <v>12</v>
      </c>
      <c r="G127" s="5"/>
    </row>
    <row r="128" s="1" customFormat="1" ht="18" customHeight="1" spans="1:7">
      <c r="A128" s="5">
        <v>126</v>
      </c>
      <c r="B128" s="5" t="str">
        <f>"谭智薇"</f>
        <v>谭智薇</v>
      </c>
      <c r="C128" s="5" t="str">
        <f>"7073202410141215094941"</f>
        <v>7073202410141215094941</v>
      </c>
      <c r="D128" s="5" t="str">
        <f t="shared" si="3"/>
        <v>E2024077</v>
      </c>
      <c r="E128" s="5" t="s">
        <v>11</v>
      </c>
      <c r="F128" s="5" t="s">
        <v>12</v>
      </c>
      <c r="G128" s="5"/>
    </row>
    <row r="129" s="1" customFormat="1" ht="18" customHeight="1" spans="1:7">
      <c r="A129" s="5">
        <v>127</v>
      </c>
      <c r="B129" s="5" t="str">
        <f>"周梦秋"</f>
        <v>周梦秋</v>
      </c>
      <c r="C129" s="5" t="str">
        <f>"7073202410141232014992"</f>
        <v>7073202410141232014992</v>
      </c>
      <c r="D129" s="5" t="str">
        <f t="shared" si="3"/>
        <v>E2024077</v>
      </c>
      <c r="E129" s="5" t="s">
        <v>11</v>
      </c>
      <c r="F129" s="5" t="s">
        <v>12</v>
      </c>
      <c r="G129" s="5"/>
    </row>
    <row r="130" s="1" customFormat="1" ht="18" customHeight="1" spans="1:7">
      <c r="A130" s="5">
        <v>128</v>
      </c>
      <c r="B130" s="5" t="str">
        <f>"李启佳"</f>
        <v>李启佳</v>
      </c>
      <c r="C130" s="5" t="str">
        <f>"7073202410141234364998"</f>
        <v>7073202410141234364998</v>
      </c>
      <c r="D130" s="5" t="str">
        <f t="shared" si="3"/>
        <v>E2024077</v>
      </c>
      <c r="E130" s="5" t="s">
        <v>11</v>
      </c>
      <c r="F130" s="5" t="s">
        <v>12</v>
      </c>
      <c r="G130" s="5"/>
    </row>
    <row r="131" s="1" customFormat="1" ht="18" customHeight="1" spans="1:7">
      <c r="A131" s="5">
        <v>129</v>
      </c>
      <c r="B131" s="5" t="str">
        <f>"陈嘉鑫"</f>
        <v>陈嘉鑫</v>
      </c>
      <c r="C131" s="5" t="str">
        <f>"7073202410141425135225"</f>
        <v>7073202410141425135225</v>
      </c>
      <c r="D131" s="5" t="str">
        <f t="shared" si="3"/>
        <v>E2024077</v>
      </c>
      <c r="E131" s="5" t="s">
        <v>11</v>
      </c>
      <c r="F131" s="5" t="s">
        <v>12</v>
      </c>
      <c r="G131" s="5"/>
    </row>
    <row r="132" s="1" customFormat="1" ht="18" customHeight="1" spans="1:7">
      <c r="A132" s="5">
        <v>130</v>
      </c>
      <c r="B132" s="5" t="str">
        <f>"赵颖"</f>
        <v>赵颖</v>
      </c>
      <c r="C132" s="5" t="str">
        <f>"7073202410141519275397"</f>
        <v>7073202410141519275397</v>
      </c>
      <c r="D132" s="5" t="str">
        <f t="shared" si="3"/>
        <v>E2024077</v>
      </c>
      <c r="E132" s="5" t="s">
        <v>11</v>
      </c>
      <c r="F132" s="5" t="s">
        <v>12</v>
      </c>
      <c r="G132" s="5"/>
    </row>
    <row r="133" s="1" customFormat="1" ht="18" customHeight="1" spans="1:7">
      <c r="A133" s="5">
        <v>131</v>
      </c>
      <c r="B133" s="5" t="str">
        <f>"陈发"</f>
        <v>陈发</v>
      </c>
      <c r="C133" s="5" t="str">
        <f>"7073202410141415495206"</f>
        <v>7073202410141415495206</v>
      </c>
      <c r="D133" s="5" t="str">
        <f t="shared" si="3"/>
        <v>E2024077</v>
      </c>
      <c r="E133" s="5" t="s">
        <v>11</v>
      </c>
      <c r="F133" s="5" t="s">
        <v>12</v>
      </c>
      <c r="G133" s="5"/>
    </row>
    <row r="134" s="1" customFormat="1" ht="18" customHeight="1" spans="1:7">
      <c r="A134" s="5">
        <v>132</v>
      </c>
      <c r="B134" s="5" t="str">
        <f>"黄宇"</f>
        <v>黄宇</v>
      </c>
      <c r="C134" s="5" t="str">
        <f>"7073202410141518545394"</f>
        <v>7073202410141518545394</v>
      </c>
      <c r="D134" s="5" t="str">
        <f t="shared" si="3"/>
        <v>E2024077</v>
      </c>
      <c r="E134" s="5" t="s">
        <v>11</v>
      </c>
      <c r="F134" s="5" t="s">
        <v>12</v>
      </c>
      <c r="G134" s="5"/>
    </row>
    <row r="135" s="1" customFormat="1" ht="18" customHeight="1" spans="1:7">
      <c r="A135" s="5">
        <v>133</v>
      </c>
      <c r="B135" s="5" t="str">
        <f>"韩黎"</f>
        <v>韩黎</v>
      </c>
      <c r="C135" s="5" t="str">
        <f>"7073202410141133524830"</f>
        <v>7073202410141133524830</v>
      </c>
      <c r="D135" s="5" t="str">
        <f t="shared" si="3"/>
        <v>E2024077</v>
      </c>
      <c r="E135" s="5" t="s">
        <v>11</v>
      </c>
      <c r="F135" s="5" t="s">
        <v>12</v>
      </c>
      <c r="G135" s="5"/>
    </row>
    <row r="136" s="1" customFormat="1" ht="18" customHeight="1" spans="1:7">
      <c r="A136" s="5">
        <v>134</v>
      </c>
      <c r="B136" s="5" t="str">
        <f>"吴川"</f>
        <v>吴川</v>
      </c>
      <c r="C136" s="5" t="str">
        <f>"7073202410141719385732"</f>
        <v>7073202410141719385732</v>
      </c>
      <c r="D136" s="5" t="str">
        <f t="shared" si="3"/>
        <v>E2024077</v>
      </c>
      <c r="E136" s="5" t="s">
        <v>11</v>
      </c>
      <c r="F136" s="5" t="s">
        <v>12</v>
      </c>
      <c r="G136" s="5"/>
    </row>
    <row r="137" s="1" customFormat="1" ht="18" customHeight="1" spans="1:7">
      <c r="A137" s="5">
        <v>135</v>
      </c>
      <c r="B137" s="5" t="str">
        <f>"姚"</f>
        <v>姚</v>
      </c>
      <c r="C137" s="5" t="str">
        <f>"7073202410141903145908"</f>
        <v>7073202410141903145908</v>
      </c>
      <c r="D137" s="5" t="str">
        <f t="shared" si="3"/>
        <v>E2024077</v>
      </c>
      <c r="E137" s="5" t="s">
        <v>11</v>
      </c>
      <c r="F137" s="5" t="s">
        <v>12</v>
      </c>
      <c r="G137" s="5"/>
    </row>
    <row r="138" s="1" customFormat="1" ht="18" customHeight="1" spans="1:7">
      <c r="A138" s="5">
        <v>136</v>
      </c>
      <c r="B138" s="5" t="str">
        <f>"谭叶辉"</f>
        <v>谭叶辉</v>
      </c>
      <c r="C138" s="5" t="str">
        <f>"7073202410142008166044"</f>
        <v>7073202410142008166044</v>
      </c>
      <c r="D138" s="5" t="str">
        <f t="shared" si="3"/>
        <v>E2024077</v>
      </c>
      <c r="E138" s="5" t="s">
        <v>11</v>
      </c>
      <c r="F138" s="5" t="s">
        <v>12</v>
      </c>
      <c r="G138" s="5"/>
    </row>
    <row r="139" s="1" customFormat="1" ht="18" customHeight="1" spans="1:7">
      <c r="A139" s="5">
        <v>137</v>
      </c>
      <c r="B139" s="5" t="str">
        <f>"章行"</f>
        <v>章行</v>
      </c>
      <c r="C139" s="5" t="str">
        <f>"7073202410142024396074"</f>
        <v>7073202410142024396074</v>
      </c>
      <c r="D139" s="5" t="str">
        <f t="shared" ref="D139:D202" si="4">"E2024077"</f>
        <v>E2024077</v>
      </c>
      <c r="E139" s="5" t="s">
        <v>11</v>
      </c>
      <c r="F139" s="5" t="s">
        <v>12</v>
      </c>
      <c r="G139" s="5"/>
    </row>
    <row r="140" s="1" customFormat="1" ht="18" customHeight="1" spans="1:7">
      <c r="A140" s="5">
        <v>138</v>
      </c>
      <c r="B140" s="5" t="str">
        <f>"陈柯达"</f>
        <v>陈柯达</v>
      </c>
      <c r="C140" s="5" t="str">
        <f>"7073202410142047316118"</f>
        <v>7073202410142047316118</v>
      </c>
      <c r="D140" s="5" t="str">
        <f t="shared" si="4"/>
        <v>E2024077</v>
      </c>
      <c r="E140" s="5" t="s">
        <v>11</v>
      </c>
      <c r="F140" s="5" t="s">
        <v>12</v>
      </c>
      <c r="G140" s="5"/>
    </row>
    <row r="141" s="1" customFormat="1" ht="18" customHeight="1" spans="1:7">
      <c r="A141" s="5">
        <v>139</v>
      </c>
      <c r="B141" s="5" t="str">
        <f>"胡定虎"</f>
        <v>胡定虎</v>
      </c>
      <c r="C141" s="5" t="str">
        <f>"7073202410142038346105"</f>
        <v>7073202410142038346105</v>
      </c>
      <c r="D141" s="5" t="str">
        <f t="shared" si="4"/>
        <v>E2024077</v>
      </c>
      <c r="E141" s="5" t="s">
        <v>11</v>
      </c>
      <c r="F141" s="5" t="s">
        <v>12</v>
      </c>
      <c r="G141" s="5"/>
    </row>
    <row r="142" s="1" customFormat="1" ht="18" customHeight="1" spans="1:7">
      <c r="A142" s="5">
        <v>140</v>
      </c>
      <c r="B142" s="5" t="str">
        <f>"向敏"</f>
        <v>向敏</v>
      </c>
      <c r="C142" s="5" t="str">
        <f>"7073202410141227114980"</f>
        <v>7073202410141227114980</v>
      </c>
      <c r="D142" s="5" t="str">
        <f t="shared" si="4"/>
        <v>E2024077</v>
      </c>
      <c r="E142" s="5" t="s">
        <v>11</v>
      </c>
      <c r="F142" s="5" t="s">
        <v>12</v>
      </c>
      <c r="G142" s="5"/>
    </row>
    <row r="143" s="1" customFormat="1" ht="18" customHeight="1" spans="1:7">
      <c r="A143" s="5">
        <v>141</v>
      </c>
      <c r="B143" s="5" t="str">
        <f>"张璇"</f>
        <v>张璇</v>
      </c>
      <c r="C143" s="5" t="str">
        <f>"7073202410150901446509"</f>
        <v>7073202410150901446509</v>
      </c>
      <c r="D143" s="5" t="str">
        <f t="shared" si="4"/>
        <v>E2024077</v>
      </c>
      <c r="E143" s="5" t="s">
        <v>11</v>
      </c>
      <c r="F143" s="5" t="s">
        <v>12</v>
      </c>
      <c r="G143" s="5"/>
    </row>
    <row r="144" s="1" customFormat="1" ht="18" customHeight="1" spans="1:7">
      <c r="A144" s="5">
        <v>142</v>
      </c>
      <c r="B144" s="5" t="str">
        <f>"江开远"</f>
        <v>江开远</v>
      </c>
      <c r="C144" s="5" t="str">
        <f>"7073202410142205196258"</f>
        <v>7073202410142205196258</v>
      </c>
      <c r="D144" s="5" t="str">
        <f t="shared" si="4"/>
        <v>E2024077</v>
      </c>
      <c r="E144" s="5" t="s">
        <v>11</v>
      </c>
      <c r="F144" s="5" t="s">
        <v>12</v>
      </c>
      <c r="G144" s="5"/>
    </row>
    <row r="145" s="1" customFormat="1" ht="18" customHeight="1" spans="1:7">
      <c r="A145" s="5">
        <v>143</v>
      </c>
      <c r="B145" s="5" t="str">
        <f>"吴志乔"</f>
        <v>吴志乔</v>
      </c>
      <c r="C145" s="5" t="str">
        <f>"7073202410151023187165"</f>
        <v>7073202410151023187165</v>
      </c>
      <c r="D145" s="5" t="str">
        <f t="shared" si="4"/>
        <v>E2024077</v>
      </c>
      <c r="E145" s="5" t="s">
        <v>11</v>
      </c>
      <c r="F145" s="5" t="s">
        <v>12</v>
      </c>
      <c r="G145" s="5"/>
    </row>
    <row r="146" s="1" customFormat="1" ht="18" customHeight="1" spans="1:7">
      <c r="A146" s="5">
        <v>144</v>
      </c>
      <c r="B146" s="5" t="str">
        <f>"陈俊佳"</f>
        <v>陈俊佳</v>
      </c>
      <c r="C146" s="5" t="str">
        <f>"7073202410151032187234"</f>
        <v>7073202410151032187234</v>
      </c>
      <c r="D146" s="5" t="str">
        <f t="shared" si="4"/>
        <v>E2024077</v>
      </c>
      <c r="E146" s="5" t="s">
        <v>11</v>
      </c>
      <c r="F146" s="5" t="s">
        <v>12</v>
      </c>
      <c r="G146" s="5"/>
    </row>
    <row r="147" s="1" customFormat="1" ht="18" customHeight="1" spans="1:7">
      <c r="A147" s="5">
        <v>145</v>
      </c>
      <c r="B147" s="5" t="str">
        <f>"向珊"</f>
        <v>向珊</v>
      </c>
      <c r="C147" s="5" t="str">
        <f>"7073202410151016147123"</f>
        <v>7073202410151016147123</v>
      </c>
      <c r="D147" s="5" t="str">
        <f t="shared" si="4"/>
        <v>E2024077</v>
      </c>
      <c r="E147" s="5" t="s">
        <v>11</v>
      </c>
      <c r="F147" s="5" t="s">
        <v>12</v>
      </c>
      <c r="G147" s="5"/>
    </row>
    <row r="148" s="1" customFormat="1" ht="18" customHeight="1" spans="1:7">
      <c r="A148" s="5">
        <v>146</v>
      </c>
      <c r="B148" s="5" t="str">
        <f>"郑力"</f>
        <v>郑力</v>
      </c>
      <c r="C148" s="5" t="str">
        <f>"7073202410151117427509"</f>
        <v>7073202410151117427509</v>
      </c>
      <c r="D148" s="5" t="str">
        <f t="shared" si="4"/>
        <v>E2024077</v>
      </c>
      <c r="E148" s="5" t="s">
        <v>11</v>
      </c>
      <c r="F148" s="5" t="s">
        <v>12</v>
      </c>
      <c r="G148" s="5"/>
    </row>
    <row r="149" s="1" customFormat="1" ht="18" customHeight="1" spans="1:7">
      <c r="A149" s="5">
        <v>147</v>
      </c>
      <c r="B149" s="5" t="str">
        <f>"唐晓蝶"</f>
        <v>唐晓蝶</v>
      </c>
      <c r="C149" s="5" t="str">
        <f>"7073202410151154137690"</f>
        <v>7073202410151154137690</v>
      </c>
      <c r="D149" s="5" t="str">
        <f t="shared" si="4"/>
        <v>E2024077</v>
      </c>
      <c r="E149" s="5" t="s">
        <v>11</v>
      </c>
      <c r="F149" s="5" t="s">
        <v>12</v>
      </c>
      <c r="G149" s="5"/>
    </row>
    <row r="150" s="1" customFormat="1" ht="18" customHeight="1" spans="1:7">
      <c r="A150" s="5">
        <v>148</v>
      </c>
      <c r="B150" s="5" t="str">
        <f>"杨晓红"</f>
        <v>杨晓红</v>
      </c>
      <c r="C150" s="5" t="str">
        <f>"7073202410151154547694"</f>
        <v>7073202410151154547694</v>
      </c>
      <c r="D150" s="5" t="str">
        <f t="shared" si="4"/>
        <v>E2024077</v>
      </c>
      <c r="E150" s="5" t="s">
        <v>11</v>
      </c>
      <c r="F150" s="5" t="s">
        <v>12</v>
      </c>
      <c r="G150" s="5"/>
    </row>
    <row r="151" s="1" customFormat="1" ht="18" customHeight="1" spans="1:7">
      <c r="A151" s="5">
        <v>149</v>
      </c>
      <c r="B151" s="5" t="str">
        <f>"杨琦琪"</f>
        <v>杨琦琪</v>
      </c>
      <c r="C151" s="5" t="str">
        <f>"7073202410151204427734"</f>
        <v>7073202410151204427734</v>
      </c>
      <c r="D151" s="5" t="str">
        <f t="shared" si="4"/>
        <v>E2024077</v>
      </c>
      <c r="E151" s="5" t="s">
        <v>11</v>
      </c>
      <c r="F151" s="5" t="s">
        <v>12</v>
      </c>
      <c r="G151" s="5"/>
    </row>
    <row r="152" s="1" customFormat="1" ht="18" customHeight="1" spans="1:7">
      <c r="A152" s="5">
        <v>150</v>
      </c>
      <c r="B152" s="5" t="str">
        <f>"高坤"</f>
        <v>高坤</v>
      </c>
      <c r="C152" s="5" t="str">
        <f>"7073202410151229487825"</f>
        <v>7073202410151229487825</v>
      </c>
      <c r="D152" s="5" t="str">
        <f t="shared" si="4"/>
        <v>E2024077</v>
      </c>
      <c r="E152" s="5" t="s">
        <v>11</v>
      </c>
      <c r="F152" s="5" t="s">
        <v>12</v>
      </c>
      <c r="G152" s="5"/>
    </row>
    <row r="153" s="1" customFormat="1" ht="18" customHeight="1" spans="1:7">
      <c r="A153" s="5">
        <v>151</v>
      </c>
      <c r="B153" s="5" t="str">
        <f>"朱辉"</f>
        <v>朱辉</v>
      </c>
      <c r="C153" s="5" t="str">
        <f>"7073202410151342178067"</f>
        <v>7073202410151342178067</v>
      </c>
      <c r="D153" s="5" t="str">
        <f t="shared" si="4"/>
        <v>E2024077</v>
      </c>
      <c r="E153" s="5" t="s">
        <v>11</v>
      </c>
      <c r="F153" s="5" t="s">
        <v>12</v>
      </c>
      <c r="G153" s="5"/>
    </row>
    <row r="154" s="1" customFormat="1" ht="18" customHeight="1" spans="1:7">
      <c r="A154" s="5">
        <v>152</v>
      </c>
      <c r="B154" s="5" t="str">
        <f>"陈娜"</f>
        <v>陈娜</v>
      </c>
      <c r="C154" s="5" t="str">
        <f>"7073202410141229574987"</f>
        <v>7073202410141229574987</v>
      </c>
      <c r="D154" s="5" t="str">
        <f t="shared" si="4"/>
        <v>E2024077</v>
      </c>
      <c r="E154" s="5" t="s">
        <v>11</v>
      </c>
      <c r="F154" s="5" t="s">
        <v>12</v>
      </c>
      <c r="G154" s="5"/>
    </row>
    <row r="155" s="1" customFormat="1" ht="18" customHeight="1" spans="1:7">
      <c r="A155" s="5">
        <v>153</v>
      </c>
      <c r="B155" s="5" t="str">
        <f>"梁启航"</f>
        <v>梁启航</v>
      </c>
      <c r="C155" s="5" t="str">
        <f>"7073202410151622458750"</f>
        <v>7073202410151622458750</v>
      </c>
      <c r="D155" s="5" t="str">
        <f t="shared" si="4"/>
        <v>E2024077</v>
      </c>
      <c r="E155" s="5" t="s">
        <v>11</v>
      </c>
      <c r="F155" s="5" t="s">
        <v>12</v>
      </c>
      <c r="G155" s="5"/>
    </row>
    <row r="156" s="1" customFormat="1" ht="18" customHeight="1" spans="1:7">
      <c r="A156" s="5">
        <v>154</v>
      </c>
      <c r="B156" s="5" t="str">
        <f>"刘刚"</f>
        <v>刘刚</v>
      </c>
      <c r="C156" s="5" t="str">
        <f>"7073202410151224027798"</f>
        <v>7073202410151224027798</v>
      </c>
      <c r="D156" s="5" t="str">
        <f t="shared" si="4"/>
        <v>E2024077</v>
      </c>
      <c r="E156" s="5" t="s">
        <v>11</v>
      </c>
      <c r="F156" s="5" t="s">
        <v>12</v>
      </c>
      <c r="G156" s="5"/>
    </row>
    <row r="157" s="1" customFormat="1" ht="18" customHeight="1" spans="1:7">
      <c r="A157" s="5">
        <v>155</v>
      </c>
      <c r="B157" s="5" t="str">
        <f>"谭进喜"</f>
        <v>谭进喜</v>
      </c>
      <c r="C157" s="5" t="str">
        <f>"7073202410151943219444"</f>
        <v>7073202410151943219444</v>
      </c>
      <c r="D157" s="5" t="str">
        <f t="shared" si="4"/>
        <v>E2024077</v>
      </c>
      <c r="E157" s="5" t="s">
        <v>11</v>
      </c>
      <c r="F157" s="5" t="s">
        <v>12</v>
      </c>
      <c r="G157" s="5"/>
    </row>
    <row r="158" s="1" customFormat="1" ht="18" customHeight="1" spans="1:7">
      <c r="A158" s="5">
        <v>156</v>
      </c>
      <c r="B158" s="5" t="str">
        <f>"向宏"</f>
        <v>向宏</v>
      </c>
      <c r="C158" s="5" t="str">
        <f>"7073202410151905599256"</f>
        <v>7073202410151905599256</v>
      </c>
      <c r="D158" s="5" t="str">
        <f t="shared" si="4"/>
        <v>E2024077</v>
      </c>
      <c r="E158" s="5" t="s">
        <v>11</v>
      </c>
      <c r="F158" s="5" t="s">
        <v>12</v>
      </c>
      <c r="G158" s="5"/>
    </row>
    <row r="159" s="1" customFormat="1" ht="18" customHeight="1" spans="1:7">
      <c r="A159" s="5">
        <v>157</v>
      </c>
      <c r="B159" s="5" t="str">
        <f>"谭鹏骏"</f>
        <v>谭鹏骏</v>
      </c>
      <c r="C159" s="5" t="str">
        <f>"7073202410152027269650"</f>
        <v>7073202410152027269650</v>
      </c>
      <c r="D159" s="5" t="str">
        <f t="shared" si="4"/>
        <v>E2024077</v>
      </c>
      <c r="E159" s="5" t="s">
        <v>11</v>
      </c>
      <c r="F159" s="5" t="s">
        <v>12</v>
      </c>
      <c r="G159" s="5"/>
    </row>
    <row r="160" s="1" customFormat="1" ht="18" customHeight="1" spans="1:7">
      <c r="A160" s="5">
        <v>158</v>
      </c>
      <c r="B160" s="5" t="str">
        <f>"黄松林"</f>
        <v>黄松林</v>
      </c>
      <c r="C160" s="5" t="str">
        <f>"70732024101522035510150"</f>
        <v>70732024101522035510150</v>
      </c>
      <c r="D160" s="5" t="str">
        <f t="shared" si="4"/>
        <v>E2024077</v>
      </c>
      <c r="E160" s="5" t="s">
        <v>11</v>
      </c>
      <c r="F160" s="5" t="s">
        <v>12</v>
      </c>
      <c r="G160" s="5"/>
    </row>
    <row r="161" s="1" customFormat="1" ht="18" customHeight="1" spans="1:7">
      <c r="A161" s="5">
        <v>159</v>
      </c>
      <c r="B161" s="5" t="str">
        <f>"朱定华"</f>
        <v>朱定华</v>
      </c>
      <c r="C161" s="5" t="str">
        <f>"7073202410141731315767"</f>
        <v>7073202410141731315767</v>
      </c>
      <c r="D161" s="5" t="str">
        <f t="shared" si="4"/>
        <v>E2024077</v>
      </c>
      <c r="E161" s="5" t="s">
        <v>11</v>
      </c>
      <c r="F161" s="5" t="s">
        <v>12</v>
      </c>
      <c r="G161" s="5"/>
    </row>
    <row r="162" s="1" customFormat="1" ht="18" customHeight="1" spans="1:7">
      <c r="A162" s="5">
        <v>160</v>
      </c>
      <c r="B162" s="5" t="str">
        <f>"曾祥悦"</f>
        <v>曾祥悦</v>
      </c>
      <c r="C162" s="5" t="str">
        <f>"70732024101608591810817"</f>
        <v>70732024101608591810817</v>
      </c>
      <c r="D162" s="5" t="str">
        <f t="shared" si="4"/>
        <v>E2024077</v>
      </c>
      <c r="E162" s="5" t="s">
        <v>11</v>
      </c>
      <c r="F162" s="5" t="s">
        <v>12</v>
      </c>
      <c r="G162" s="5"/>
    </row>
    <row r="163" s="1" customFormat="1" ht="18" customHeight="1" spans="1:7">
      <c r="A163" s="5">
        <v>161</v>
      </c>
      <c r="B163" s="5" t="str">
        <f>"唐梦媛"</f>
        <v>唐梦媛</v>
      </c>
      <c r="C163" s="5" t="str">
        <f>"70732024101610570311555"</f>
        <v>70732024101610570311555</v>
      </c>
      <c r="D163" s="5" t="str">
        <f t="shared" si="4"/>
        <v>E2024077</v>
      </c>
      <c r="E163" s="5" t="s">
        <v>11</v>
      </c>
      <c r="F163" s="5" t="s">
        <v>12</v>
      </c>
      <c r="G163" s="5"/>
    </row>
    <row r="164" s="1" customFormat="1" ht="18" customHeight="1" spans="1:7">
      <c r="A164" s="5">
        <v>162</v>
      </c>
      <c r="B164" s="5" t="str">
        <f>"邓迪笛"</f>
        <v>邓迪笛</v>
      </c>
      <c r="C164" s="5" t="str">
        <f>"7073202410151406578138"</f>
        <v>7073202410151406578138</v>
      </c>
      <c r="D164" s="5" t="str">
        <f t="shared" si="4"/>
        <v>E2024077</v>
      </c>
      <c r="E164" s="5" t="s">
        <v>11</v>
      </c>
      <c r="F164" s="5" t="s">
        <v>12</v>
      </c>
      <c r="G164" s="5"/>
    </row>
    <row r="165" s="1" customFormat="1" ht="18" customHeight="1" spans="1:7">
      <c r="A165" s="5">
        <v>163</v>
      </c>
      <c r="B165" s="5" t="str">
        <f>"吴雪澳"</f>
        <v>吴雪澳</v>
      </c>
      <c r="C165" s="5" t="str">
        <f>"70732024101614115912366"</f>
        <v>70732024101614115912366</v>
      </c>
      <c r="D165" s="5" t="str">
        <f t="shared" si="4"/>
        <v>E2024077</v>
      </c>
      <c r="E165" s="5" t="s">
        <v>11</v>
      </c>
      <c r="F165" s="5" t="s">
        <v>12</v>
      </c>
      <c r="G165" s="5"/>
    </row>
    <row r="166" s="1" customFormat="1" ht="18" customHeight="1" spans="1:7">
      <c r="A166" s="5">
        <v>164</v>
      </c>
      <c r="B166" s="5" t="str">
        <f>"向辉燕"</f>
        <v>向辉燕</v>
      </c>
      <c r="C166" s="5" t="str">
        <f>"70732024101620242414492"</f>
        <v>70732024101620242414492</v>
      </c>
      <c r="D166" s="5" t="str">
        <f t="shared" si="4"/>
        <v>E2024077</v>
      </c>
      <c r="E166" s="5" t="s">
        <v>11</v>
      </c>
      <c r="F166" s="5" t="s">
        <v>12</v>
      </c>
      <c r="G166" s="5"/>
    </row>
    <row r="167" s="1" customFormat="1" ht="18" customHeight="1" spans="1:7">
      <c r="A167" s="5">
        <v>165</v>
      </c>
      <c r="B167" s="5" t="str">
        <f>"方可"</f>
        <v>方可</v>
      </c>
      <c r="C167" s="5" t="str">
        <f>"70732024101620434914592"</f>
        <v>70732024101620434914592</v>
      </c>
      <c r="D167" s="5" t="str">
        <f t="shared" si="4"/>
        <v>E2024077</v>
      </c>
      <c r="E167" s="5" t="s">
        <v>11</v>
      </c>
      <c r="F167" s="5" t="s">
        <v>12</v>
      </c>
      <c r="G167" s="5"/>
    </row>
    <row r="168" s="1" customFormat="1" ht="18" customHeight="1" spans="1:7">
      <c r="A168" s="5">
        <v>166</v>
      </c>
      <c r="B168" s="5" t="str">
        <f>"唐洁梅"</f>
        <v>唐洁梅</v>
      </c>
      <c r="C168" s="5" t="str">
        <f>"70732024101622302115064"</f>
        <v>70732024101622302115064</v>
      </c>
      <c r="D168" s="5" t="str">
        <f t="shared" si="4"/>
        <v>E2024077</v>
      </c>
      <c r="E168" s="5" t="s">
        <v>11</v>
      </c>
      <c r="F168" s="5" t="s">
        <v>12</v>
      </c>
      <c r="G168" s="5"/>
    </row>
    <row r="169" s="1" customFormat="1" ht="18" customHeight="1" spans="1:7">
      <c r="A169" s="5">
        <v>167</v>
      </c>
      <c r="B169" s="5" t="str">
        <f>"杨若愚"</f>
        <v>杨若愚</v>
      </c>
      <c r="C169" s="5" t="str">
        <f>"70732024101700081615357"</f>
        <v>70732024101700081615357</v>
      </c>
      <c r="D169" s="5" t="str">
        <f t="shared" si="4"/>
        <v>E2024077</v>
      </c>
      <c r="E169" s="5" t="s">
        <v>11</v>
      </c>
      <c r="F169" s="5" t="s">
        <v>12</v>
      </c>
      <c r="G169" s="5"/>
    </row>
    <row r="170" s="1" customFormat="1" ht="18" customHeight="1" spans="1:7">
      <c r="A170" s="5">
        <v>168</v>
      </c>
      <c r="B170" s="5" t="str">
        <f>"刘颖"</f>
        <v>刘颖</v>
      </c>
      <c r="C170" s="5" t="str">
        <f>"70732024101709145315743"</f>
        <v>70732024101709145315743</v>
      </c>
      <c r="D170" s="5" t="str">
        <f t="shared" si="4"/>
        <v>E2024077</v>
      </c>
      <c r="E170" s="5" t="s">
        <v>11</v>
      </c>
      <c r="F170" s="5" t="s">
        <v>12</v>
      </c>
      <c r="G170" s="5"/>
    </row>
    <row r="171" s="1" customFormat="1" ht="18" customHeight="1" spans="1:7">
      <c r="A171" s="5">
        <v>169</v>
      </c>
      <c r="B171" s="5" t="str">
        <f>"廖义凤"</f>
        <v>廖义凤</v>
      </c>
      <c r="C171" s="5" t="str">
        <f>"70732024101709381915932"</f>
        <v>70732024101709381915932</v>
      </c>
      <c r="D171" s="5" t="str">
        <f t="shared" si="4"/>
        <v>E2024077</v>
      </c>
      <c r="E171" s="5" t="s">
        <v>11</v>
      </c>
      <c r="F171" s="5" t="s">
        <v>12</v>
      </c>
      <c r="G171" s="5"/>
    </row>
    <row r="172" s="1" customFormat="1" ht="18" customHeight="1" spans="1:7">
      <c r="A172" s="5">
        <v>170</v>
      </c>
      <c r="B172" s="5" t="str">
        <f>"刘孝慧"</f>
        <v>刘孝慧</v>
      </c>
      <c r="C172" s="5" t="str">
        <f>"70732024101711362817007"</f>
        <v>70732024101711362817007</v>
      </c>
      <c r="D172" s="5" t="str">
        <f t="shared" si="4"/>
        <v>E2024077</v>
      </c>
      <c r="E172" s="5" t="s">
        <v>11</v>
      </c>
      <c r="F172" s="5" t="s">
        <v>12</v>
      </c>
      <c r="G172" s="5"/>
    </row>
    <row r="173" s="1" customFormat="1" ht="18" customHeight="1" spans="1:7">
      <c r="A173" s="5">
        <v>171</v>
      </c>
      <c r="B173" s="5" t="str">
        <f>"宋晓航"</f>
        <v>宋晓航</v>
      </c>
      <c r="C173" s="5" t="str">
        <f>"70732024101711302416950"</f>
        <v>70732024101711302416950</v>
      </c>
      <c r="D173" s="5" t="str">
        <f t="shared" si="4"/>
        <v>E2024077</v>
      </c>
      <c r="E173" s="5" t="s">
        <v>11</v>
      </c>
      <c r="F173" s="5" t="s">
        <v>12</v>
      </c>
      <c r="G173" s="5"/>
    </row>
    <row r="174" s="1" customFormat="1" ht="18" customHeight="1" spans="1:7">
      <c r="A174" s="5">
        <v>172</v>
      </c>
      <c r="B174" s="5" t="str">
        <f>"邹倩倩"</f>
        <v>邹倩倩</v>
      </c>
      <c r="C174" s="5" t="str">
        <f>"70732024101713082017581"</f>
        <v>70732024101713082017581</v>
      </c>
      <c r="D174" s="5" t="str">
        <f t="shared" si="4"/>
        <v>E2024077</v>
      </c>
      <c r="E174" s="5" t="s">
        <v>11</v>
      </c>
      <c r="F174" s="5" t="s">
        <v>12</v>
      </c>
      <c r="G174" s="5"/>
    </row>
    <row r="175" s="1" customFormat="1" ht="18" customHeight="1" spans="1:7">
      <c r="A175" s="5">
        <v>173</v>
      </c>
      <c r="B175" s="5" t="str">
        <f>"秦诗皓"</f>
        <v>秦诗皓</v>
      </c>
      <c r="C175" s="5" t="str">
        <f>"70732024101714153717947"</f>
        <v>70732024101714153717947</v>
      </c>
      <c r="D175" s="5" t="str">
        <f t="shared" si="4"/>
        <v>E2024077</v>
      </c>
      <c r="E175" s="5" t="s">
        <v>11</v>
      </c>
      <c r="F175" s="5" t="s">
        <v>12</v>
      </c>
      <c r="G175" s="5"/>
    </row>
    <row r="176" s="1" customFormat="1" ht="18" customHeight="1" spans="1:7">
      <c r="A176" s="5">
        <v>174</v>
      </c>
      <c r="B176" s="5" t="str">
        <f>"张群芳"</f>
        <v>张群芳</v>
      </c>
      <c r="C176" s="5" t="str">
        <f>"70732024101715421018619"</f>
        <v>70732024101715421018619</v>
      </c>
      <c r="D176" s="5" t="str">
        <f t="shared" si="4"/>
        <v>E2024077</v>
      </c>
      <c r="E176" s="5" t="s">
        <v>11</v>
      </c>
      <c r="F176" s="5" t="s">
        <v>12</v>
      </c>
      <c r="G176" s="5"/>
    </row>
    <row r="177" s="1" customFormat="1" ht="18" customHeight="1" spans="1:7">
      <c r="A177" s="5">
        <v>175</v>
      </c>
      <c r="B177" s="5" t="str">
        <f>"邵倩"</f>
        <v>邵倩</v>
      </c>
      <c r="C177" s="5" t="str">
        <f>"7073202410141544165476"</f>
        <v>7073202410141544165476</v>
      </c>
      <c r="D177" s="5" t="str">
        <f t="shared" si="4"/>
        <v>E2024077</v>
      </c>
      <c r="E177" s="5" t="s">
        <v>11</v>
      </c>
      <c r="F177" s="5" t="s">
        <v>12</v>
      </c>
      <c r="G177" s="5"/>
    </row>
    <row r="178" s="1" customFormat="1" ht="18" customHeight="1" spans="1:7">
      <c r="A178" s="5">
        <v>176</v>
      </c>
      <c r="B178" s="5" t="str">
        <f>"万雨曦"</f>
        <v>万雨曦</v>
      </c>
      <c r="C178" s="5" t="str">
        <f>"70732024101717502119555"</f>
        <v>70732024101717502119555</v>
      </c>
      <c r="D178" s="5" t="str">
        <f t="shared" si="4"/>
        <v>E2024077</v>
      </c>
      <c r="E178" s="5" t="s">
        <v>11</v>
      </c>
      <c r="F178" s="5" t="s">
        <v>12</v>
      </c>
      <c r="G178" s="5"/>
    </row>
    <row r="179" s="1" customFormat="1" ht="18" customHeight="1" spans="1:7">
      <c r="A179" s="5">
        <v>177</v>
      </c>
      <c r="B179" s="5" t="str">
        <f>"唐雨琪"</f>
        <v>唐雨琪</v>
      </c>
      <c r="C179" s="5" t="str">
        <f>"70732024101720030620417"</f>
        <v>70732024101720030620417</v>
      </c>
      <c r="D179" s="5" t="str">
        <f t="shared" si="4"/>
        <v>E2024077</v>
      </c>
      <c r="E179" s="5" t="s">
        <v>11</v>
      </c>
      <c r="F179" s="5" t="s">
        <v>12</v>
      </c>
      <c r="G179" s="5"/>
    </row>
    <row r="180" s="1" customFormat="1" ht="18" customHeight="1" spans="1:7">
      <c r="A180" s="5">
        <v>178</v>
      </c>
      <c r="B180" s="5" t="str">
        <f>"刘茂林"</f>
        <v>刘茂林</v>
      </c>
      <c r="C180" s="5" t="str">
        <f>"70732024101720393520657"</f>
        <v>70732024101720393520657</v>
      </c>
      <c r="D180" s="5" t="str">
        <f t="shared" si="4"/>
        <v>E2024077</v>
      </c>
      <c r="E180" s="5" t="s">
        <v>11</v>
      </c>
      <c r="F180" s="5" t="s">
        <v>12</v>
      </c>
      <c r="G180" s="5"/>
    </row>
    <row r="181" s="1" customFormat="1" ht="18" customHeight="1" spans="1:7">
      <c r="A181" s="5">
        <v>179</v>
      </c>
      <c r="B181" s="5" t="str">
        <f>"杨惠宇"</f>
        <v>杨惠宇</v>
      </c>
      <c r="C181" s="5" t="str">
        <f>"70732024101721012020800"</f>
        <v>70732024101721012020800</v>
      </c>
      <c r="D181" s="5" t="str">
        <f t="shared" si="4"/>
        <v>E2024077</v>
      </c>
      <c r="E181" s="5" t="s">
        <v>11</v>
      </c>
      <c r="F181" s="5" t="s">
        <v>12</v>
      </c>
      <c r="G181" s="5"/>
    </row>
    <row r="182" s="1" customFormat="1" ht="18" customHeight="1" spans="1:7">
      <c r="A182" s="5">
        <v>180</v>
      </c>
      <c r="B182" s="5" t="str">
        <f>"周代俊"</f>
        <v>周代俊</v>
      </c>
      <c r="C182" s="5" t="str">
        <f>"70732024101722240721307"</f>
        <v>70732024101722240721307</v>
      </c>
      <c r="D182" s="5" t="str">
        <f t="shared" si="4"/>
        <v>E2024077</v>
      </c>
      <c r="E182" s="5" t="s">
        <v>11</v>
      </c>
      <c r="F182" s="5" t="s">
        <v>12</v>
      </c>
      <c r="G182" s="5"/>
    </row>
    <row r="183" s="1" customFormat="1" ht="18" customHeight="1" spans="1:7">
      <c r="A183" s="5">
        <v>181</v>
      </c>
      <c r="B183" s="5" t="str">
        <f>"黄迅"</f>
        <v>黄迅</v>
      </c>
      <c r="C183" s="5" t="str">
        <f>"70732024101723543121624"</f>
        <v>70732024101723543121624</v>
      </c>
      <c r="D183" s="5" t="str">
        <f t="shared" si="4"/>
        <v>E2024077</v>
      </c>
      <c r="E183" s="5" t="s">
        <v>11</v>
      </c>
      <c r="F183" s="5" t="s">
        <v>12</v>
      </c>
      <c r="G183" s="5"/>
    </row>
    <row r="184" s="1" customFormat="1" ht="18" customHeight="1" spans="1:7">
      <c r="A184" s="5">
        <v>182</v>
      </c>
      <c r="B184" s="5" t="str">
        <f>"黄晓艳"</f>
        <v>黄晓艳</v>
      </c>
      <c r="C184" s="5" t="str">
        <f>"70732024101713083317584"</f>
        <v>70732024101713083317584</v>
      </c>
      <c r="D184" s="5" t="str">
        <f t="shared" si="4"/>
        <v>E2024077</v>
      </c>
      <c r="E184" s="5" t="s">
        <v>11</v>
      </c>
      <c r="F184" s="5" t="s">
        <v>12</v>
      </c>
      <c r="G184" s="5"/>
    </row>
    <row r="185" s="1" customFormat="1" ht="18" customHeight="1" spans="1:7">
      <c r="A185" s="5">
        <v>183</v>
      </c>
      <c r="B185" s="5" t="str">
        <f>"佘高美"</f>
        <v>佘高美</v>
      </c>
      <c r="C185" s="5" t="str">
        <f>"70732024101810080322639"</f>
        <v>70732024101810080322639</v>
      </c>
      <c r="D185" s="5" t="str">
        <f t="shared" si="4"/>
        <v>E2024077</v>
      </c>
      <c r="E185" s="5" t="s">
        <v>11</v>
      </c>
      <c r="F185" s="5" t="s">
        <v>12</v>
      </c>
      <c r="G185" s="5"/>
    </row>
    <row r="186" s="1" customFormat="1" ht="18" customHeight="1" spans="1:7">
      <c r="A186" s="5">
        <v>184</v>
      </c>
      <c r="B186" s="5" t="str">
        <f>"林娇"</f>
        <v>林娇</v>
      </c>
      <c r="C186" s="5" t="str">
        <f>"70732024101811455623393"</f>
        <v>70732024101811455623393</v>
      </c>
      <c r="D186" s="5" t="str">
        <f t="shared" si="4"/>
        <v>E2024077</v>
      </c>
      <c r="E186" s="5" t="s">
        <v>11</v>
      </c>
      <c r="F186" s="5" t="s">
        <v>12</v>
      </c>
      <c r="G186" s="5"/>
    </row>
    <row r="187" s="1" customFormat="1" ht="18" customHeight="1" spans="1:7">
      <c r="A187" s="5">
        <v>185</v>
      </c>
      <c r="B187" s="5" t="str">
        <f>"艾三多"</f>
        <v>艾三多</v>
      </c>
      <c r="C187" s="5" t="str">
        <f>"70732024101813381424292"</f>
        <v>70732024101813381424292</v>
      </c>
      <c r="D187" s="5" t="str">
        <f t="shared" si="4"/>
        <v>E2024077</v>
      </c>
      <c r="E187" s="5" t="s">
        <v>11</v>
      </c>
      <c r="F187" s="5" t="s">
        <v>12</v>
      </c>
      <c r="G187" s="5"/>
    </row>
    <row r="188" s="1" customFormat="1" ht="18" customHeight="1" spans="1:7">
      <c r="A188" s="5">
        <v>186</v>
      </c>
      <c r="B188" s="5" t="str">
        <f>"黄永杰"</f>
        <v>黄永杰</v>
      </c>
      <c r="C188" s="5" t="str">
        <f>"70732024101816132525265"</f>
        <v>70732024101816132525265</v>
      </c>
      <c r="D188" s="5" t="str">
        <f t="shared" si="4"/>
        <v>E2024077</v>
      </c>
      <c r="E188" s="5" t="s">
        <v>11</v>
      </c>
      <c r="F188" s="5" t="s">
        <v>12</v>
      </c>
      <c r="G188" s="5"/>
    </row>
    <row r="189" s="1" customFormat="1" ht="18" customHeight="1" spans="1:7">
      <c r="A189" s="5">
        <v>187</v>
      </c>
      <c r="B189" s="5" t="str">
        <f>"杨易婷"</f>
        <v>杨易婷</v>
      </c>
      <c r="C189" s="5" t="str">
        <f>"7073202410131119443292"</f>
        <v>7073202410131119443292</v>
      </c>
      <c r="D189" s="5" t="str">
        <f t="shared" si="4"/>
        <v>E2024077</v>
      </c>
      <c r="E189" s="5" t="s">
        <v>11</v>
      </c>
      <c r="F189" s="5" t="s">
        <v>12</v>
      </c>
      <c r="G189" s="5"/>
    </row>
    <row r="190" s="1" customFormat="1" ht="18" customHeight="1" spans="1:7">
      <c r="A190" s="5">
        <v>188</v>
      </c>
      <c r="B190" s="5" t="str">
        <f>"覃业茹"</f>
        <v>覃业茹</v>
      </c>
      <c r="C190" s="5" t="str">
        <f>"70732024101816384925563"</f>
        <v>70732024101816384925563</v>
      </c>
      <c r="D190" s="5" t="str">
        <f t="shared" si="4"/>
        <v>E2024077</v>
      </c>
      <c r="E190" s="5" t="s">
        <v>11</v>
      </c>
      <c r="F190" s="5" t="s">
        <v>12</v>
      </c>
      <c r="G190" s="5"/>
    </row>
    <row r="191" s="1" customFormat="1" ht="18" customHeight="1" spans="1:7">
      <c r="A191" s="5">
        <v>189</v>
      </c>
      <c r="B191" s="5" t="str">
        <f>"吴金林"</f>
        <v>吴金林</v>
      </c>
      <c r="C191" s="5" t="str">
        <f>"70732024101915285429047"</f>
        <v>70732024101915285429047</v>
      </c>
      <c r="D191" s="5" t="str">
        <f t="shared" si="4"/>
        <v>E2024077</v>
      </c>
      <c r="E191" s="5" t="s">
        <v>11</v>
      </c>
      <c r="F191" s="5" t="s">
        <v>12</v>
      </c>
      <c r="G191" s="5"/>
    </row>
    <row r="192" s="1" customFormat="1" ht="18" customHeight="1" spans="1:7">
      <c r="A192" s="5">
        <v>190</v>
      </c>
      <c r="B192" s="5" t="str">
        <f>"田海"</f>
        <v>田海</v>
      </c>
      <c r="C192" s="5" t="str">
        <f>"70732024101916343029235"</f>
        <v>70732024101916343029235</v>
      </c>
      <c r="D192" s="5" t="str">
        <f t="shared" si="4"/>
        <v>E2024077</v>
      </c>
      <c r="E192" s="5" t="s">
        <v>11</v>
      </c>
      <c r="F192" s="5" t="s">
        <v>12</v>
      </c>
      <c r="G192" s="5"/>
    </row>
    <row r="193" s="1" customFormat="1" ht="18" customHeight="1" spans="1:7">
      <c r="A193" s="5">
        <v>191</v>
      </c>
      <c r="B193" s="5" t="str">
        <f>"谭丹丹"</f>
        <v>谭丹丹</v>
      </c>
      <c r="C193" s="5" t="str">
        <f>"70732024101919475129813"</f>
        <v>70732024101919475129813</v>
      </c>
      <c r="D193" s="5" t="str">
        <f t="shared" si="4"/>
        <v>E2024077</v>
      </c>
      <c r="E193" s="5" t="s">
        <v>11</v>
      </c>
      <c r="F193" s="5" t="s">
        <v>12</v>
      </c>
      <c r="G193" s="5"/>
    </row>
    <row r="194" s="1" customFormat="1" ht="18" customHeight="1" spans="1:7">
      <c r="A194" s="5">
        <v>192</v>
      </c>
      <c r="B194" s="5" t="str">
        <f>"刘秋杙"</f>
        <v>刘秋杙</v>
      </c>
      <c r="C194" s="5" t="str">
        <f>"70732024101913042928642"</f>
        <v>70732024101913042928642</v>
      </c>
      <c r="D194" s="5" t="str">
        <f t="shared" si="4"/>
        <v>E2024077</v>
      </c>
      <c r="E194" s="5" t="s">
        <v>11</v>
      </c>
      <c r="F194" s="5" t="s">
        <v>12</v>
      </c>
      <c r="G194" s="5"/>
    </row>
    <row r="195" s="1" customFormat="1" ht="18" customHeight="1" spans="1:7">
      <c r="A195" s="5">
        <v>193</v>
      </c>
      <c r="B195" s="5" t="str">
        <f>"文君"</f>
        <v>文君</v>
      </c>
      <c r="C195" s="5" t="str">
        <f>"70732024101922185930314"</f>
        <v>70732024101922185930314</v>
      </c>
      <c r="D195" s="5" t="str">
        <f t="shared" si="4"/>
        <v>E2024077</v>
      </c>
      <c r="E195" s="5" t="s">
        <v>11</v>
      </c>
      <c r="F195" s="5" t="s">
        <v>12</v>
      </c>
      <c r="G195" s="5"/>
    </row>
    <row r="196" s="1" customFormat="1" ht="18" customHeight="1" spans="1:7">
      <c r="A196" s="5">
        <v>194</v>
      </c>
      <c r="B196" s="5" t="str">
        <f>"吴佳"</f>
        <v>吴佳</v>
      </c>
      <c r="C196" s="5" t="str">
        <f>"70732024102006451730630"</f>
        <v>70732024102006451730630</v>
      </c>
      <c r="D196" s="5" t="str">
        <f t="shared" si="4"/>
        <v>E2024077</v>
      </c>
      <c r="E196" s="5" t="s">
        <v>11</v>
      </c>
      <c r="F196" s="5" t="s">
        <v>12</v>
      </c>
      <c r="G196" s="5"/>
    </row>
    <row r="197" s="1" customFormat="1" ht="18" customHeight="1" spans="1:7">
      <c r="A197" s="5">
        <v>195</v>
      </c>
      <c r="B197" s="5" t="str">
        <f>"黄葆华"</f>
        <v>黄葆华</v>
      </c>
      <c r="C197" s="5" t="str">
        <f>"70732024102009402830770"</f>
        <v>70732024102009402830770</v>
      </c>
      <c r="D197" s="5" t="str">
        <f t="shared" si="4"/>
        <v>E2024077</v>
      </c>
      <c r="E197" s="5" t="s">
        <v>11</v>
      </c>
      <c r="F197" s="5" t="s">
        <v>12</v>
      </c>
      <c r="G197" s="5"/>
    </row>
    <row r="198" s="1" customFormat="1" ht="18" customHeight="1" spans="1:7">
      <c r="A198" s="5">
        <v>196</v>
      </c>
      <c r="B198" s="5" t="str">
        <f>"陈冰清"</f>
        <v>陈冰清</v>
      </c>
      <c r="C198" s="5" t="str">
        <f>"70732024102010170530882"</f>
        <v>70732024102010170530882</v>
      </c>
      <c r="D198" s="5" t="str">
        <f t="shared" si="4"/>
        <v>E2024077</v>
      </c>
      <c r="E198" s="5" t="s">
        <v>11</v>
      </c>
      <c r="F198" s="5" t="s">
        <v>12</v>
      </c>
      <c r="G198" s="5"/>
    </row>
    <row r="199" s="1" customFormat="1" ht="18" customHeight="1" spans="1:7">
      <c r="A199" s="5">
        <v>197</v>
      </c>
      <c r="B199" s="5" t="str">
        <f>"周桢荃"</f>
        <v>周桢荃</v>
      </c>
      <c r="C199" s="5" t="str">
        <f>"70732024102011094031014"</f>
        <v>70732024102011094031014</v>
      </c>
      <c r="D199" s="5" t="str">
        <f t="shared" si="4"/>
        <v>E2024077</v>
      </c>
      <c r="E199" s="5" t="s">
        <v>11</v>
      </c>
      <c r="F199" s="5" t="s">
        <v>12</v>
      </c>
      <c r="G199" s="5"/>
    </row>
    <row r="200" s="1" customFormat="1" ht="18" customHeight="1" spans="1:7">
      <c r="A200" s="5">
        <v>198</v>
      </c>
      <c r="B200" s="5" t="str">
        <f>"任时贤"</f>
        <v>任时贤</v>
      </c>
      <c r="C200" s="5" t="str">
        <f>"70732024101922170930309"</f>
        <v>70732024101922170930309</v>
      </c>
      <c r="D200" s="5" t="str">
        <f t="shared" si="4"/>
        <v>E2024077</v>
      </c>
      <c r="E200" s="5" t="s">
        <v>11</v>
      </c>
      <c r="F200" s="5" t="s">
        <v>12</v>
      </c>
      <c r="G200" s="5"/>
    </row>
    <row r="201" s="1" customFormat="1" ht="18" customHeight="1" spans="1:7">
      <c r="A201" s="5">
        <v>199</v>
      </c>
      <c r="B201" s="5" t="str">
        <f>"李浪"</f>
        <v>李浪</v>
      </c>
      <c r="C201" s="5" t="str">
        <f>"70732024102015165731738"</f>
        <v>70732024102015165731738</v>
      </c>
      <c r="D201" s="5" t="str">
        <f t="shared" si="4"/>
        <v>E2024077</v>
      </c>
      <c r="E201" s="5" t="s">
        <v>11</v>
      </c>
      <c r="F201" s="5" t="s">
        <v>12</v>
      </c>
      <c r="G201" s="5"/>
    </row>
    <row r="202" s="1" customFormat="1" ht="18" customHeight="1" spans="1:7">
      <c r="A202" s="5">
        <v>200</v>
      </c>
      <c r="B202" s="5" t="str">
        <f>"梅靖"</f>
        <v>梅靖</v>
      </c>
      <c r="C202" s="5" t="str">
        <f>"70732024102015370331800"</f>
        <v>70732024102015370331800</v>
      </c>
      <c r="D202" s="5" t="str">
        <f t="shared" si="4"/>
        <v>E2024077</v>
      </c>
      <c r="E202" s="5" t="s">
        <v>11</v>
      </c>
      <c r="F202" s="5" t="s">
        <v>12</v>
      </c>
      <c r="G202" s="5"/>
    </row>
    <row r="203" s="1" customFormat="1" ht="18" customHeight="1" spans="1:7">
      <c r="A203" s="5">
        <v>201</v>
      </c>
      <c r="B203" s="5" t="str">
        <f>"蔡亚岚"</f>
        <v>蔡亚岚</v>
      </c>
      <c r="C203" s="5" t="str">
        <f>"70732024102016085531888"</f>
        <v>70732024102016085531888</v>
      </c>
      <c r="D203" s="5" t="str">
        <f t="shared" ref="D203:D266" si="5">"E2024077"</f>
        <v>E2024077</v>
      </c>
      <c r="E203" s="5" t="s">
        <v>11</v>
      </c>
      <c r="F203" s="5" t="s">
        <v>12</v>
      </c>
      <c r="G203" s="5"/>
    </row>
    <row r="204" s="1" customFormat="1" ht="18" customHeight="1" spans="1:7">
      <c r="A204" s="5">
        <v>202</v>
      </c>
      <c r="B204" s="5" t="str">
        <f>"刘冰琳"</f>
        <v>刘冰琳</v>
      </c>
      <c r="C204" s="5" t="str">
        <f>"70732024102016373031987"</f>
        <v>70732024102016373031987</v>
      </c>
      <c r="D204" s="5" t="str">
        <f t="shared" si="5"/>
        <v>E2024077</v>
      </c>
      <c r="E204" s="5" t="s">
        <v>11</v>
      </c>
      <c r="F204" s="5" t="s">
        <v>12</v>
      </c>
      <c r="G204" s="5"/>
    </row>
    <row r="205" s="1" customFormat="1" ht="18" customHeight="1" spans="1:7">
      <c r="A205" s="5">
        <v>203</v>
      </c>
      <c r="B205" s="5" t="str">
        <f>"张华甲"</f>
        <v>张华甲</v>
      </c>
      <c r="C205" s="5" t="str">
        <f>"70732024102017051832082"</f>
        <v>70732024102017051832082</v>
      </c>
      <c r="D205" s="5" t="str">
        <f t="shared" si="5"/>
        <v>E2024077</v>
      </c>
      <c r="E205" s="5" t="s">
        <v>11</v>
      </c>
      <c r="F205" s="5" t="s">
        <v>12</v>
      </c>
      <c r="G205" s="5"/>
    </row>
    <row r="206" s="1" customFormat="1" ht="18" customHeight="1" spans="1:7">
      <c r="A206" s="5">
        <v>204</v>
      </c>
      <c r="B206" s="5" t="str">
        <f>"黄芳"</f>
        <v>黄芳</v>
      </c>
      <c r="C206" s="5" t="str">
        <f>"70732024102018524132407"</f>
        <v>70732024102018524132407</v>
      </c>
      <c r="D206" s="5" t="str">
        <f t="shared" si="5"/>
        <v>E2024077</v>
      </c>
      <c r="E206" s="5" t="s">
        <v>11</v>
      </c>
      <c r="F206" s="5" t="s">
        <v>12</v>
      </c>
      <c r="G206" s="5"/>
    </row>
    <row r="207" s="1" customFormat="1" ht="18" customHeight="1" spans="1:7">
      <c r="A207" s="5">
        <v>205</v>
      </c>
      <c r="B207" s="5" t="str">
        <f>"曹锦"</f>
        <v>曹锦</v>
      </c>
      <c r="C207" s="5" t="str">
        <f>"70732024102021244632954"</f>
        <v>70732024102021244632954</v>
      </c>
      <c r="D207" s="5" t="str">
        <f t="shared" si="5"/>
        <v>E2024077</v>
      </c>
      <c r="E207" s="5" t="s">
        <v>11</v>
      </c>
      <c r="F207" s="5" t="s">
        <v>12</v>
      </c>
      <c r="G207" s="5"/>
    </row>
    <row r="208" s="1" customFormat="1" ht="18" customHeight="1" spans="1:7">
      <c r="A208" s="5">
        <v>206</v>
      </c>
      <c r="B208" s="5" t="str">
        <f>"何欣"</f>
        <v>何欣</v>
      </c>
      <c r="C208" s="5" t="str">
        <f>"70732024102022040033147"</f>
        <v>70732024102022040033147</v>
      </c>
      <c r="D208" s="5" t="str">
        <f t="shared" si="5"/>
        <v>E2024077</v>
      </c>
      <c r="E208" s="5" t="s">
        <v>11</v>
      </c>
      <c r="F208" s="5" t="s">
        <v>12</v>
      </c>
      <c r="G208" s="5"/>
    </row>
    <row r="209" s="1" customFormat="1" ht="18" customHeight="1" spans="1:7">
      <c r="A209" s="5">
        <v>207</v>
      </c>
      <c r="B209" s="5" t="str">
        <f>"谢雯"</f>
        <v>谢雯</v>
      </c>
      <c r="C209" s="5" t="str">
        <f>"70732024102023124733408"</f>
        <v>70732024102023124733408</v>
      </c>
      <c r="D209" s="5" t="str">
        <f t="shared" si="5"/>
        <v>E2024077</v>
      </c>
      <c r="E209" s="5" t="s">
        <v>11</v>
      </c>
      <c r="F209" s="5" t="s">
        <v>12</v>
      </c>
      <c r="G209" s="5"/>
    </row>
    <row r="210" s="1" customFormat="1" ht="18" customHeight="1" spans="1:7">
      <c r="A210" s="5">
        <v>208</v>
      </c>
      <c r="B210" s="5" t="str">
        <f>"张雪"</f>
        <v>张雪</v>
      </c>
      <c r="C210" s="5" t="str">
        <f>"7073202410131628423578"</f>
        <v>7073202410131628423578</v>
      </c>
      <c r="D210" s="5" t="str">
        <f t="shared" si="5"/>
        <v>E2024077</v>
      </c>
      <c r="E210" s="5" t="s">
        <v>11</v>
      </c>
      <c r="F210" s="5" t="s">
        <v>12</v>
      </c>
      <c r="G210" s="5"/>
    </row>
    <row r="211" s="1" customFormat="1" ht="18" customHeight="1" spans="1:7">
      <c r="A211" s="5">
        <v>209</v>
      </c>
      <c r="B211" s="5" t="str">
        <f>"田璐"</f>
        <v>田璐</v>
      </c>
      <c r="C211" s="5" t="str">
        <f>"7073202410151627078767"</f>
        <v>7073202410151627078767</v>
      </c>
      <c r="D211" s="5" t="str">
        <f t="shared" si="5"/>
        <v>E2024077</v>
      </c>
      <c r="E211" s="5" t="s">
        <v>11</v>
      </c>
      <c r="F211" s="5" t="s">
        <v>12</v>
      </c>
      <c r="G211" s="5"/>
    </row>
    <row r="212" s="1" customFormat="1" ht="18" customHeight="1" spans="1:7">
      <c r="A212" s="5">
        <v>210</v>
      </c>
      <c r="B212" s="5" t="str">
        <f>"王宇"</f>
        <v>王宇</v>
      </c>
      <c r="C212" s="5" t="str">
        <f>"70732024102109254934569"</f>
        <v>70732024102109254934569</v>
      </c>
      <c r="D212" s="5" t="str">
        <f t="shared" si="5"/>
        <v>E2024077</v>
      </c>
      <c r="E212" s="5" t="s">
        <v>11</v>
      </c>
      <c r="F212" s="5" t="s">
        <v>12</v>
      </c>
      <c r="G212" s="5"/>
    </row>
    <row r="213" s="1" customFormat="1" ht="18" customHeight="1" spans="1:7">
      <c r="A213" s="5">
        <v>211</v>
      </c>
      <c r="B213" s="5" t="str">
        <f>"马向阳"</f>
        <v>马向阳</v>
      </c>
      <c r="C213" s="5" t="str">
        <f>"70732024102109454434902"</f>
        <v>70732024102109454434902</v>
      </c>
      <c r="D213" s="5" t="str">
        <f t="shared" si="5"/>
        <v>E2024077</v>
      </c>
      <c r="E213" s="5" t="s">
        <v>11</v>
      </c>
      <c r="F213" s="5" t="s">
        <v>12</v>
      </c>
      <c r="G213" s="5"/>
    </row>
    <row r="214" s="1" customFormat="1" ht="18" customHeight="1" spans="1:7">
      <c r="A214" s="5">
        <v>212</v>
      </c>
      <c r="B214" s="5" t="str">
        <f>"周慧"</f>
        <v>周慧</v>
      </c>
      <c r="C214" s="5" t="str">
        <f>"70732024102023455833490"</f>
        <v>70732024102023455833490</v>
      </c>
      <c r="D214" s="5" t="str">
        <f t="shared" si="5"/>
        <v>E2024077</v>
      </c>
      <c r="E214" s="5" t="s">
        <v>11</v>
      </c>
      <c r="F214" s="5" t="s">
        <v>12</v>
      </c>
      <c r="G214" s="5"/>
    </row>
    <row r="215" s="1" customFormat="1" ht="18" customHeight="1" spans="1:7">
      <c r="A215" s="5">
        <v>213</v>
      </c>
      <c r="B215" s="5" t="str">
        <f>"龙淼"</f>
        <v>龙淼</v>
      </c>
      <c r="C215" s="5" t="str">
        <f>"70732024102110395435820"</f>
        <v>70732024102110395435820</v>
      </c>
      <c r="D215" s="5" t="str">
        <f t="shared" si="5"/>
        <v>E2024077</v>
      </c>
      <c r="E215" s="5" t="s">
        <v>11</v>
      </c>
      <c r="F215" s="5" t="s">
        <v>12</v>
      </c>
      <c r="G215" s="5"/>
    </row>
    <row r="216" s="1" customFormat="1" ht="18" customHeight="1" spans="1:7">
      <c r="A216" s="5">
        <v>214</v>
      </c>
      <c r="B216" s="5" t="str">
        <f>"刘惠卉"</f>
        <v>刘惠卉</v>
      </c>
      <c r="C216" s="5" t="str">
        <f>"70732024102111000636129"</f>
        <v>70732024102111000636129</v>
      </c>
      <c r="D216" s="5" t="str">
        <f t="shared" si="5"/>
        <v>E2024077</v>
      </c>
      <c r="E216" s="5" t="s">
        <v>11</v>
      </c>
      <c r="F216" s="5" t="s">
        <v>12</v>
      </c>
      <c r="G216" s="5"/>
    </row>
    <row r="217" s="1" customFormat="1" ht="18" customHeight="1" spans="1:7">
      <c r="A217" s="5">
        <v>215</v>
      </c>
      <c r="B217" s="5" t="str">
        <f>"刘又华"</f>
        <v>刘又华</v>
      </c>
      <c r="C217" s="5" t="str">
        <f>"70732024101616291213061"</f>
        <v>70732024101616291213061</v>
      </c>
      <c r="D217" s="5" t="str">
        <f t="shared" si="5"/>
        <v>E2024077</v>
      </c>
      <c r="E217" s="5" t="s">
        <v>11</v>
      </c>
      <c r="F217" s="5" t="s">
        <v>12</v>
      </c>
      <c r="G217" s="5"/>
    </row>
    <row r="218" s="1" customFormat="1" ht="18" customHeight="1" spans="1:7">
      <c r="A218" s="5">
        <v>216</v>
      </c>
      <c r="B218" s="5" t="str">
        <f>"郭春秀"</f>
        <v>郭春秀</v>
      </c>
      <c r="C218" s="5" t="str">
        <f>"70732024102111321136610"</f>
        <v>70732024102111321136610</v>
      </c>
      <c r="D218" s="5" t="str">
        <f t="shared" si="5"/>
        <v>E2024077</v>
      </c>
      <c r="E218" s="5" t="s">
        <v>11</v>
      </c>
      <c r="F218" s="5" t="s">
        <v>12</v>
      </c>
      <c r="G218" s="5"/>
    </row>
    <row r="219" s="1" customFormat="1" ht="18" customHeight="1" spans="1:7">
      <c r="A219" s="5">
        <v>217</v>
      </c>
      <c r="B219" s="5" t="str">
        <f>"李一豪"</f>
        <v>李一豪</v>
      </c>
      <c r="C219" s="5" t="str">
        <f>"7073202410150945036900"</f>
        <v>7073202410150945036900</v>
      </c>
      <c r="D219" s="5" t="str">
        <f t="shared" si="5"/>
        <v>E2024077</v>
      </c>
      <c r="E219" s="5" t="s">
        <v>11</v>
      </c>
      <c r="F219" s="5" t="s">
        <v>12</v>
      </c>
      <c r="G219" s="5"/>
    </row>
    <row r="220" s="1" customFormat="1" ht="18" customHeight="1" spans="1:7">
      <c r="A220" s="5">
        <v>218</v>
      </c>
      <c r="B220" s="5" t="str">
        <f>"宋洋"</f>
        <v>宋洋</v>
      </c>
      <c r="C220" s="5" t="str">
        <f>"7073202410141802375806"</f>
        <v>7073202410141802375806</v>
      </c>
      <c r="D220" s="5" t="str">
        <f t="shared" si="5"/>
        <v>E2024077</v>
      </c>
      <c r="E220" s="5" t="s">
        <v>11</v>
      </c>
      <c r="F220" s="5" t="s">
        <v>12</v>
      </c>
      <c r="G220" s="5"/>
    </row>
    <row r="221" s="1" customFormat="1" ht="18" customHeight="1" spans="1:7">
      <c r="A221" s="5">
        <v>219</v>
      </c>
      <c r="B221" s="5" t="str">
        <f>"甘林霞"</f>
        <v>甘林霞</v>
      </c>
      <c r="C221" s="5" t="str">
        <f>"70732024102109041834151"</f>
        <v>70732024102109041834151</v>
      </c>
      <c r="D221" s="5" t="str">
        <f t="shared" si="5"/>
        <v>E2024077</v>
      </c>
      <c r="E221" s="5" t="s">
        <v>11</v>
      </c>
      <c r="F221" s="5" t="s">
        <v>12</v>
      </c>
      <c r="G221" s="5"/>
    </row>
    <row r="222" s="1" customFormat="1" ht="18" customHeight="1" spans="1:7">
      <c r="A222" s="5">
        <v>220</v>
      </c>
      <c r="B222" s="5" t="str">
        <f>"陈梦萍 "</f>
        <v>陈梦萍 </v>
      </c>
      <c r="C222" s="5" t="str">
        <f>"70732024102113423537840"</f>
        <v>70732024102113423537840</v>
      </c>
      <c r="D222" s="5" t="str">
        <f t="shared" si="5"/>
        <v>E2024077</v>
      </c>
      <c r="E222" s="5" t="s">
        <v>11</v>
      </c>
      <c r="F222" s="5" t="s">
        <v>12</v>
      </c>
      <c r="G222" s="5"/>
    </row>
    <row r="223" s="1" customFormat="1" ht="18" customHeight="1" spans="1:7">
      <c r="A223" s="5">
        <v>221</v>
      </c>
      <c r="B223" s="5" t="str">
        <f>"丰羽"</f>
        <v>丰羽</v>
      </c>
      <c r="C223" s="5" t="str">
        <f>"70732024102114174438165"</f>
        <v>70732024102114174438165</v>
      </c>
      <c r="D223" s="5" t="str">
        <f t="shared" si="5"/>
        <v>E2024077</v>
      </c>
      <c r="E223" s="5" t="s">
        <v>11</v>
      </c>
      <c r="F223" s="5" t="s">
        <v>12</v>
      </c>
      <c r="G223" s="5"/>
    </row>
    <row r="224" s="1" customFormat="1" ht="18" customHeight="1" spans="1:7">
      <c r="A224" s="5">
        <v>222</v>
      </c>
      <c r="B224" s="5" t="str">
        <f>"何金芳"</f>
        <v>何金芳</v>
      </c>
      <c r="C224" s="5" t="str">
        <f>"7073202410151700578902"</f>
        <v>7073202410151700578902</v>
      </c>
      <c r="D224" s="5" t="str">
        <f t="shared" si="5"/>
        <v>E2024077</v>
      </c>
      <c r="E224" s="5" t="s">
        <v>11</v>
      </c>
      <c r="F224" s="5" t="s">
        <v>12</v>
      </c>
      <c r="G224" s="5"/>
    </row>
    <row r="225" s="1" customFormat="1" ht="18" customHeight="1" spans="1:7">
      <c r="A225" s="5">
        <v>223</v>
      </c>
      <c r="B225" s="5" t="str">
        <f>"罗园媛"</f>
        <v>罗园媛</v>
      </c>
      <c r="C225" s="5" t="str">
        <f>"70732024102115220838883"</f>
        <v>70732024102115220838883</v>
      </c>
      <c r="D225" s="5" t="str">
        <f t="shared" si="5"/>
        <v>E2024077</v>
      </c>
      <c r="E225" s="5" t="s">
        <v>11</v>
      </c>
      <c r="F225" s="5" t="s">
        <v>12</v>
      </c>
      <c r="G225" s="5"/>
    </row>
    <row r="226" s="1" customFormat="1" ht="18" customHeight="1" spans="1:7">
      <c r="A226" s="5">
        <v>224</v>
      </c>
      <c r="B226" s="5" t="str">
        <f>"周天涯"</f>
        <v>周天涯</v>
      </c>
      <c r="C226" s="5" t="str">
        <f>"70732024102116032739372"</f>
        <v>70732024102116032739372</v>
      </c>
      <c r="D226" s="5" t="str">
        <f t="shared" si="5"/>
        <v>E2024077</v>
      </c>
      <c r="E226" s="5" t="s">
        <v>11</v>
      </c>
      <c r="F226" s="5" t="s">
        <v>12</v>
      </c>
      <c r="G226" s="5"/>
    </row>
    <row r="227" s="1" customFormat="1" ht="18" customHeight="1" spans="1:7">
      <c r="A227" s="5">
        <v>225</v>
      </c>
      <c r="B227" s="5" t="str">
        <f>"伍俊霖"</f>
        <v>伍俊霖</v>
      </c>
      <c r="C227" s="5" t="str">
        <f>"7073202410121121052004"</f>
        <v>7073202410121121052004</v>
      </c>
      <c r="D227" s="5" t="str">
        <f t="shared" si="5"/>
        <v>E2024077</v>
      </c>
      <c r="E227" s="5" t="s">
        <v>11</v>
      </c>
      <c r="F227" s="5" t="s">
        <v>12</v>
      </c>
      <c r="G227" s="5"/>
    </row>
    <row r="228" s="1" customFormat="1" ht="18" customHeight="1" spans="1:7">
      <c r="A228" s="5">
        <v>226</v>
      </c>
      <c r="B228" s="5" t="str">
        <f>"黄名著"</f>
        <v>黄名著</v>
      </c>
      <c r="C228" s="5" t="str">
        <f>"70732024102117360340576"</f>
        <v>70732024102117360340576</v>
      </c>
      <c r="D228" s="5" t="str">
        <f t="shared" si="5"/>
        <v>E2024077</v>
      </c>
      <c r="E228" s="5" t="s">
        <v>11</v>
      </c>
      <c r="F228" s="5" t="s">
        <v>12</v>
      </c>
      <c r="G228" s="5"/>
    </row>
    <row r="229" s="1" customFormat="1" ht="18" customHeight="1" spans="1:7">
      <c r="A229" s="5">
        <v>227</v>
      </c>
      <c r="B229" s="5" t="str">
        <f>"罗开进"</f>
        <v>罗开进</v>
      </c>
      <c r="C229" s="5" t="str">
        <f>"70732024102117431540649"</f>
        <v>70732024102117431540649</v>
      </c>
      <c r="D229" s="5" t="str">
        <f t="shared" si="5"/>
        <v>E2024077</v>
      </c>
      <c r="E229" s="5" t="s">
        <v>11</v>
      </c>
      <c r="F229" s="5" t="s">
        <v>12</v>
      </c>
      <c r="G229" s="5"/>
    </row>
    <row r="230" s="1" customFormat="1" ht="18" customHeight="1" spans="1:7">
      <c r="A230" s="5">
        <v>228</v>
      </c>
      <c r="B230" s="5" t="str">
        <f>"陈龙"</f>
        <v>陈龙</v>
      </c>
      <c r="C230" s="5" t="str">
        <f>"70732024101809564322528"</f>
        <v>70732024101809564322528</v>
      </c>
      <c r="D230" s="5" t="str">
        <f t="shared" si="5"/>
        <v>E2024077</v>
      </c>
      <c r="E230" s="5" t="s">
        <v>11</v>
      </c>
      <c r="F230" s="5" t="s">
        <v>12</v>
      </c>
      <c r="G230" s="5"/>
    </row>
    <row r="231" s="1" customFormat="1" ht="18" customHeight="1" spans="1:7">
      <c r="A231" s="5">
        <v>229</v>
      </c>
      <c r="B231" s="5" t="str">
        <f>"覃文鑫"</f>
        <v>覃文鑫</v>
      </c>
      <c r="C231" s="5" t="str">
        <f>"70732024102117573940765"</f>
        <v>70732024102117573940765</v>
      </c>
      <c r="D231" s="5" t="str">
        <f t="shared" si="5"/>
        <v>E2024077</v>
      </c>
      <c r="E231" s="5" t="s">
        <v>11</v>
      </c>
      <c r="F231" s="5" t="s">
        <v>12</v>
      </c>
      <c r="G231" s="5"/>
    </row>
    <row r="232" s="1" customFormat="1" ht="18" customHeight="1" spans="1:7">
      <c r="A232" s="5">
        <v>230</v>
      </c>
      <c r="B232" s="5" t="str">
        <f>"熊子淳"</f>
        <v>熊子淳</v>
      </c>
      <c r="C232" s="5" t="str">
        <f>"70732024102121092742239"</f>
        <v>70732024102121092742239</v>
      </c>
      <c r="D232" s="5" t="str">
        <f t="shared" si="5"/>
        <v>E2024077</v>
      </c>
      <c r="E232" s="5" t="s">
        <v>11</v>
      </c>
      <c r="F232" s="5" t="s">
        <v>12</v>
      </c>
      <c r="G232" s="5"/>
    </row>
    <row r="233" s="1" customFormat="1" ht="18" customHeight="1" spans="1:7">
      <c r="A233" s="5">
        <v>231</v>
      </c>
      <c r="B233" s="5" t="str">
        <f>"蔡薇"</f>
        <v>蔡薇</v>
      </c>
      <c r="C233" s="5" t="str">
        <f>"70732024102122034642592"</f>
        <v>70732024102122034642592</v>
      </c>
      <c r="D233" s="5" t="str">
        <f t="shared" si="5"/>
        <v>E2024077</v>
      </c>
      <c r="E233" s="5" t="s">
        <v>11</v>
      </c>
      <c r="F233" s="5" t="s">
        <v>12</v>
      </c>
      <c r="G233" s="5"/>
    </row>
    <row r="234" s="1" customFormat="1" ht="18" customHeight="1" spans="1:7">
      <c r="A234" s="5">
        <v>232</v>
      </c>
      <c r="B234" s="5" t="str">
        <f>"谭张威"</f>
        <v>谭张威</v>
      </c>
      <c r="C234" s="5" t="str">
        <f>"70732024102122295242740"</f>
        <v>70732024102122295242740</v>
      </c>
      <c r="D234" s="5" t="str">
        <f t="shared" si="5"/>
        <v>E2024077</v>
      </c>
      <c r="E234" s="5" t="s">
        <v>11</v>
      </c>
      <c r="F234" s="5" t="s">
        <v>12</v>
      </c>
      <c r="G234" s="5"/>
    </row>
    <row r="235" s="1" customFormat="1" ht="18" customHeight="1" spans="1:7">
      <c r="A235" s="5">
        <v>233</v>
      </c>
      <c r="B235" s="5" t="str">
        <f>"罗文珺"</f>
        <v>罗文珺</v>
      </c>
      <c r="C235" s="5" t="str">
        <f>"70732024102200191243111"</f>
        <v>70732024102200191243111</v>
      </c>
      <c r="D235" s="5" t="str">
        <f t="shared" si="5"/>
        <v>E2024077</v>
      </c>
      <c r="E235" s="5" t="s">
        <v>11</v>
      </c>
      <c r="F235" s="5" t="s">
        <v>12</v>
      </c>
      <c r="G235" s="5"/>
    </row>
    <row r="236" s="1" customFormat="1" ht="18" customHeight="1" spans="1:7">
      <c r="A236" s="5">
        <v>234</v>
      </c>
      <c r="B236" s="5" t="str">
        <f>"余明兴"</f>
        <v>余明兴</v>
      </c>
      <c r="C236" s="5" t="str">
        <f>"70732024102208215443305"</f>
        <v>70732024102208215443305</v>
      </c>
      <c r="D236" s="5" t="str">
        <f t="shared" si="5"/>
        <v>E2024077</v>
      </c>
      <c r="E236" s="5" t="s">
        <v>11</v>
      </c>
      <c r="F236" s="5" t="s">
        <v>12</v>
      </c>
      <c r="G236" s="5"/>
    </row>
    <row r="237" s="1" customFormat="1" ht="18" customHeight="1" spans="1:7">
      <c r="A237" s="5">
        <v>235</v>
      </c>
      <c r="B237" s="5" t="str">
        <f>"王釭圯"</f>
        <v>王釭圯</v>
      </c>
      <c r="C237" s="5" t="str">
        <f>"70732024102208370943378"</f>
        <v>70732024102208370943378</v>
      </c>
      <c r="D237" s="5" t="str">
        <f t="shared" si="5"/>
        <v>E2024077</v>
      </c>
      <c r="E237" s="5" t="s">
        <v>11</v>
      </c>
      <c r="F237" s="5" t="s">
        <v>12</v>
      </c>
      <c r="G237" s="5"/>
    </row>
    <row r="238" s="1" customFormat="1" ht="18" customHeight="1" spans="1:7">
      <c r="A238" s="5">
        <v>236</v>
      </c>
      <c r="B238" s="5" t="str">
        <f>"郭瑶"</f>
        <v>郭瑶</v>
      </c>
      <c r="C238" s="5" t="str">
        <f>"7073202410151636168805"</f>
        <v>7073202410151636168805</v>
      </c>
      <c r="D238" s="5" t="str">
        <f t="shared" si="5"/>
        <v>E2024077</v>
      </c>
      <c r="E238" s="5" t="s">
        <v>11</v>
      </c>
      <c r="F238" s="5" t="s">
        <v>12</v>
      </c>
      <c r="G238" s="5"/>
    </row>
    <row r="239" s="1" customFormat="1" ht="18" customHeight="1" spans="1:7">
      <c r="A239" s="5">
        <v>237</v>
      </c>
      <c r="B239" s="5" t="str">
        <f>"杨雪梅"</f>
        <v>杨雪梅</v>
      </c>
      <c r="C239" s="5" t="str">
        <f>"70732024102211080045056"</f>
        <v>70732024102211080045056</v>
      </c>
      <c r="D239" s="5" t="str">
        <f t="shared" si="5"/>
        <v>E2024077</v>
      </c>
      <c r="E239" s="5" t="s">
        <v>11</v>
      </c>
      <c r="F239" s="5" t="s">
        <v>12</v>
      </c>
      <c r="G239" s="5"/>
    </row>
    <row r="240" s="1" customFormat="1" ht="18" customHeight="1" spans="1:7">
      <c r="A240" s="5">
        <v>238</v>
      </c>
      <c r="B240" s="5" t="str">
        <f>"谭娜娜"</f>
        <v>谭娜娜</v>
      </c>
      <c r="C240" s="5" t="str">
        <f>"70732024102211014044983"</f>
        <v>70732024102211014044983</v>
      </c>
      <c r="D240" s="5" t="str">
        <f t="shared" si="5"/>
        <v>E2024077</v>
      </c>
      <c r="E240" s="5" t="s">
        <v>11</v>
      </c>
      <c r="F240" s="5" t="s">
        <v>12</v>
      </c>
      <c r="G240" s="5"/>
    </row>
    <row r="241" s="1" customFormat="1" ht="18" customHeight="1" spans="1:7">
      <c r="A241" s="5">
        <v>239</v>
      </c>
      <c r="B241" s="5" t="str">
        <f>"李忠玲"</f>
        <v>李忠玲</v>
      </c>
      <c r="C241" s="5" t="str">
        <f>"70732024102112554237429"</f>
        <v>70732024102112554237429</v>
      </c>
      <c r="D241" s="5" t="str">
        <f t="shared" si="5"/>
        <v>E2024077</v>
      </c>
      <c r="E241" s="5" t="s">
        <v>11</v>
      </c>
      <c r="F241" s="5" t="s">
        <v>12</v>
      </c>
      <c r="G241" s="5"/>
    </row>
    <row r="242" s="1" customFormat="1" ht="18" customHeight="1" spans="1:7">
      <c r="A242" s="5">
        <v>240</v>
      </c>
      <c r="B242" s="5" t="str">
        <f>"向慧敏"</f>
        <v>向慧敏</v>
      </c>
      <c r="C242" s="5" t="str">
        <f>"70732024102212594045966"</f>
        <v>70732024102212594045966</v>
      </c>
      <c r="D242" s="5" t="str">
        <f t="shared" si="5"/>
        <v>E2024077</v>
      </c>
      <c r="E242" s="5" t="s">
        <v>11</v>
      </c>
      <c r="F242" s="5" t="s">
        <v>12</v>
      </c>
      <c r="G242" s="5"/>
    </row>
    <row r="243" s="1" customFormat="1" ht="18" customHeight="1" spans="1:7">
      <c r="A243" s="5">
        <v>241</v>
      </c>
      <c r="B243" s="5" t="str">
        <f>"郑钉木"</f>
        <v>郑钉木</v>
      </c>
      <c r="C243" s="5" t="str">
        <f>"70732024102213381546203"</f>
        <v>70732024102213381546203</v>
      </c>
      <c r="D243" s="5" t="str">
        <f t="shared" si="5"/>
        <v>E2024077</v>
      </c>
      <c r="E243" s="5" t="s">
        <v>11</v>
      </c>
      <c r="F243" s="5" t="s">
        <v>12</v>
      </c>
      <c r="G243" s="5"/>
    </row>
    <row r="244" s="1" customFormat="1" ht="18" customHeight="1" spans="1:7">
      <c r="A244" s="5">
        <v>242</v>
      </c>
      <c r="B244" s="5" t="str">
        <f>"张重钧"</f>
        <v>张重钧</v>
      </c>
      <c r="C244" s="5" t="str">
        <f>"70732024102214381346569"</f>
        <v>70732024102214381346569</v>
      </c>
      <c r="D244" s="5" t="str">
        <f t="shared" si="5"/>
        <v>E2024077</v>
      </c>
      <c r="E244" s="5" t="s">
        <v>11</v>
      </c>
      <c r="F244" s="5" t="s">
        <v>12</v>
      </c>
      <c r="G244" s="5"/>
    </row>
    <row r="245" s="1" customFormat="1" ht="18" customHeight="1" spans="1:7">
      <c r="A245" s="5">
        <v>243</v>
      </c>
      <c r="B245" s="5" t="str">
        <f>"吴雯"</f>
        <v>吴雯</v>
      </c>
      <c r="C245" s="5" t="str">
        <f>"70732024102215002046748"</f>
        <v>70732024102215002046748</v>
      </c>
      <c r="D245" s="5" t="str">
        <f t="shared" si="5"/>
        <v>E2024077</v>
      </c>
      <c r="E245" s="5" t="s">
        <v>11</v>
      </c>
      <c r="F245" s="5" t="s">
        <v>12</v>
      </c>
      <c r="G245" s="5"/>
    </row>
    <row r="246" s="1" customFormat="1" ht="18" customHeight="1" spans="1:7">
      <c r="A246" s="5">
        <v>244</v>
      </c>
      <c r="B246" s="5" t="str">
        <f>"邹霓"</f>
        <v>邹霓</v>
      </c>
      <c r="C246" s="5" t="str">
        <f>"70732024102216045547385"</f>
        <v>70732024102216045547385</v>
      </c>
      <c r="D246" s="5" t="str">
        <f t="shared" si="5"/>
        <v>E2024077</v>
      </c>
      <c r="E246" s="5" t="s">
        <v>11</v>
      </c>
      <c r="F246" s="5" t="s">
        <v>12</v>
      </c>
      <c r="G246" s="5"/>
    </row>
    <row r="247" s="1" customFormat="1" ht="18" customHeight="1" spans="1:7">
      <c r="A247" s="5">
        <v>245</v>
      </c>
      <c r="B247" s="5" t="str">
        <f>"谢军"</f>
        <v>谢军</v>
      </c>
      <c r="C247" s="5" t="str">
        <f>"70732024102215322747071"</f>
        <v>70732024102215322747071</v>
      </c>
      <c r="D247" s="5" t="str">
        <f t="shared" si="5"/>
        <v>E2024077</v>
      </c>
      <c r="E247" s="5" t="s">
        <v>11</v>
      </c>
      <c r="F247" s="5" t="s">
        <v>12</v>
      </c>
      <c r="G247" s="5"/>
    </row>
    <row r="248" s="1" customFormat="1" ht="18" customHeight="1" spans="1:7">
      <c r="A248" s="5">
        <v>246</v>
      </c>
      <c r="B248" s="5" t="str">
        <f>"张振"</f>
        <v>张振</v>
      </c>
      <c r="C248" s="5" t="str">
        <f>"70732024102215102146857"</f>
        <v>70732024102215102146857</v>
      </c>
      <c r="D248" s="5" t="str">
        <f t="shared" si="5"/>
        <v>E2024077</v>
      </c>
      <c r="E248" s="5" t="s">
        <v>11</v>
      </c>
      <c r="F248" s="5" t="s">
        <v>12</v>
      </c>
      <c r="G248" s="5"/>
    </row>
    <row r="249" s="1" customFormat="1" ht="18" customHeight="1" spans="1:7">
      <c r="A249" s="5">
        <v>247</v>
      </c>
      <c r="B249" s="5" t="str">
        <f>"胡志洋"</f>
        <v>胡志洋</v>
      </c>
      <c r="C249" s="5" t="str">
        <f>"70732024102217270548098"</f>
        <v>70732024102217270548098</v>
      </c>
      <c r="D249" s="5" t="str">
        <f t="shared" si="5"/>
        <v>E2024077</v>
      </c>
      <c r="E249" s="5" t="s">
        <v>11</v>
      </c>
      <c r="F249" s="5" t="s">
        <v>12</v>
      </c>
      <c r="G249" s="5"/>
    </row>
    <row r="250" s="1" customFormat="1" ht="18" customHeight="1" spans="1:7">
      <c r="A250" s="5">
        <v>248</v>
      </c>
      <c r="B250" s="5" t="str">
        <f>"徐灿"</f>
        <v>徐灿</v>
      </c>
      <c r="C250" s="5" t="str">
        <f>"70732024102120213441865"</f>
        <v>70732024102120213441865</v>
      </c>
      <c r="D250" s="5" t="str">
        <f t="shared" si="5"/>
        <v>E2024077</v>
      </c>
      <c r="E250" s="5" t="s">
        <v>11</v>
      </c>
      <c r="F250" s="5" t="s">
        <v>12</v>
      </c>
      <c r="G250" s="5"/>
    </row>
    <row r="251" s="1" customFormat="1" ht="18" customHeight="1" spans="1:7">
      <c r="A251" s="5">
        <v>249</v>
      </c>
      <c r="B251" s="5" t="str">
        <f>"李佳遥"</f>
        <v>李佳遥</v>
      </c>
      <c r="C251" s="5" t="str">
        <f>"70732024102220591649564"</f>
        <v>70732024102220591649564</v>
      </c>
      <c r="D251" s="5" t="str">
        <f t="shared" si="5"/>
        <v>E2024077</v>
      </c>
      <c r="E251" s="5" t="s">
        <v>11</v>
      </c>
      <c r="F251" s="5" t="s">
        <v>12</v>
      </c>
      <c r="G251" s="5"/>
    </row>
    <row r="252" s="1" customFormat="1" ht="18" customHeight="1" spans="1:7">
      <c r="A252" s="5">
        <v>250</v>
      </c>
      <c r="B252" s="5" t="str">
        <f>"邓艳珍"</f>
        <v>邓艳珍</v>
      </c>
      <c r="C252" s="5" t="str">
        <f>"70732024102221270349788"</f>
        <v>70732024102221270349788</v>
      </c>
      <c r="D252" s="5" t="str">
        <f t="shared" si="5"/>
        <v>E2024077</v>
      </c>
      <c r="E252" s="5" t="s">
        <v>11</v>
      </c>
      <c r="F252" s="5" t="s">
        <v>12</v>
      </c>
      <c r="G252" s="5"/>
    </row>
    <row r="253" s="1" customFormat="1" ht="18" customHeight="1" spans="1:7">
      <c r="A253" s="5">
        <v>251</v>
      </c>
      <c r="B253" s="5" t="str">
        <f>"胡辛鑫"</f>
        <v>胡辛鑫</v>
      </c>
      <c r="C253" s="5" t="str">
        <f>"70732024102221375149866"</f>
        <v>70732024102221375149866</v>
      </c>
      <c r="D253" s="5" t="str">
        <f t="shared" si="5"/>
        <v>E2024077</v>
      </c>
      <c r="E253" s="5" t="s">
        <v>11</v>
      </c>
      <c r="F253" s="5" t="s">
        <v>12</v>
      </c>
      <c r="G253" s="5"/>
    </row>
    <row r="254" s="1" customFormat="1" ht="18" customHeight="1" spans="1:7">
      <c r="A254" s="5">
        <v>252</v>
      </c>
      <c r="B254" s="5" t="str">
        <f>"周加劲"</f>
        <v>周加劲</v>
      </c>
      <c r="C254" s="5" t="str">
        <f>"70732024102221531950007"</f>
        <v>70732024102221531950007</v>
      </c>
      <c r="D254" s="5" t="str">
        <f t="shared" si="5"/>
        <v>E2024077</v>
      </c>
      <c r="E254" s="5" t="s">
        <v>11</v>
      </c>
      <c r="F254" s="5" t="s">
        <v>12</v>
      </c>
      <c r="G254" s="5"/>
    </row>
    <row r="255" s="1" customFormat="1" ht="18" customHeight="1" spans="1:7">
      <c r="A255" s="5">
        <v>253</v>
      </c>
      <c r="B255" s="5" t="str">
        <f>"任雪姣"</f>
        <v>任雪姣</v>
      </c>
      <c r="C255" s="5" t="str">
        <f>"70732024102222125850148"</f>
        <v>70732024102222125850148</v>
      </c>
      <c r="D255" s="5" t="str">
        <f t="shared" si="5"/>
        <v>E2024077</v>
      </c>
      <c r="E255" s="5" t="s">
        <v>11</v>
      </c>
      <c r="F255" s="5" t="s">
        <v>12</v>
      </c>
      <c r="G255" s="5"/>
    </row>
    <row r="256" s="1" customFormat="1" ht="18" customHeight="1" spans="1:7">
      <c r="A256" s="5">
        <v>254</v>
      </c>
      <c r="B256" s="5" t="str">
        <f>"向森"</f>
        <v>向森</v>
      </c>
      <c r="C256" s="5" t="str">
        <f>"70732024102222570250415"</f>
        <v>70732024102222570250415</v>
      </c>
      <c r="D256" s="5" t="str">
        <f t="shared" si="5"/>
        <v>E2024077</v>
      </c>
      <c r="E256" s="5" t="s">
        <v>11</v>
      </c>
      <c r="F256" s="5" t="s">
        <v>12</v>
      </c>
      <c r="G256" s="5"/>
    </row>
    <row r="257" s="1" customFormat="1" ht="18" customHeight="1" spans="1:7">
      <c r="A257" s="5">
        <v>255</v>
      </c>
      <c r="B257" s="5" t="str">
        <f>"吴婷"</f>
        <v>吴婷</v>
      </c>
      <c r="C257" s="5" t="str">
        <f>"70732024102113055737532"</f>
        <v>70732024102113055737532</v>
      </c>
      <c r="D257" s="5" t="str">
        <f t="shared" si="5"/>
        <v>E2024077</v>
      </c>
      <c r="E257" s="5" t="s">
        <v>11</v>
      </c>
      <c r="F257" s="5" t="s">
        <v>12</v>
      </c>
      <c r="G257" s="5"/>
    </row>
    <row r="258" s="1" customFormat="1" ht="18" customHeight="1" spans="1:7">
      <c r="A258" s="5">
        <v>256</v>
      </c>
      <c r="B258" s="5" t="str">
        <f>"张艳丽"</f>
        <v>张艳丽</v>
      </c>
      <c r="C258" s="5" t="str">
        <f>"70732024102308353550978"</f>
        <v>70732024102308353550978</v>
      </c>
      <c r="D258" s="5" t="str">
        <f t="shared" si="5"/>
        <v>E2024077</v>
      </c>
      <c r="E258" s="5" t="s">
        <v>11</v>
      </c>
      <c r="F258" s="5" t="s">
        <v>12</v>
      </c>
      <c r="G258" s="5"/>
    </row>
    <row r="259" s="1" customFormat="1" ht="18" customHeight="1" spans="1:7">
      <c r="A259" s="5">
        <v>257</v>
      </c>
      <c r="B259" s="5" t="str">
        <f>"谭晨"</f>
        <v>谭晨</v>
      </c>
      <c r="C259" s="5" t="str">
        <f>"70732024102310265653329"</f>
        <v>70732024102310265653329</v>
      </c>
      <c r="D259" s="5" t="str">
        <f t="shared" si="5"/>
        <v>E2024077</v>
      </c>
      <c r="E259" s="5" t="s">
        <v>11</v>
      </c>
      <c r="F259" s="5" t="s">
        <v>12</v>
      </c>
      <c r="G259" s="5"/>
    </row>
    <row r="260" s="1" customFormat="1" ht="18" customHeight="1" spans="1:7">
      <c r="A260" s="5">
        <v>258</v>
      </c>
      <c r="B260" s="5" t="str">
        <f>"谭裴蓉"</f>
        <v>谭裴蓉</v>
      </c>
      <c r="C260" s="5" t="str">
        <f>"70732024102310361053526"</f>
        <v>70732024102310361053526</v>
      </c>
      <c r="D260" s="5" t="str">
        <f t="shared" si="5"/>
        <v>E2024077</v>
      </c>
      <c r="E260" s="5" t="s">
        <v>11</v>
      </c>
      <c r="F260" s="5" t="s">
        <v>12</v>
      </c>
      <c r="G260" s="5"/>
    </row>
    <row r="261" s="1" customFormat="1" ht="18" customHeight="1" spans="1:7">
      <c r="A261" s="5">
        <v>259</v>
      </c>
      <c r="B261" s="5" t="str">
        <f>"胡浪"</f>
        <v>胡浪</v>
      </c>
      <c r="C261" s="5" t="str">
        <f>"7073202410141041454616"</f>
        <v>7073202410141041454616</v>
      </c>
      <c r="D261" s="5" t="str">
        <f t="shared" si="5"/>
        <v>E2024077</v>
      </c>
      <c r="E261" s="5" t="s">
        <v>11</v>
      </c>
      <c r="F261" s="5" t="s">
        <v>12</v>
      </c>
      <c r="G261" s="5"/>
    </row>
    <row r="262" s="1" customFormat="1" ht="18" customHeight="1" spans="1:7">
      <c r="A262" s="5">
        <v>260</v>
      </c>
      <c r="B262" s="5" t="str">
        <f>"李鸿洲"</f>
        <v>李鸿洲</v>
      </c>
      <c r="C262" s="5" t="str">
        <f>"70732024102311243654378"</f>
        <v>70732024102311243654378</v>
      </c>
      <c r="D262" s="5" t="str">
        <f t="shared" si="5"/>
        <v>E2024077</v>
      </c>
      <c r="E262" s="5" t="s">
        <v>11</v>
      </c>
      <c r="F262" s="5" t="s">
        <v>12</v>
      </c>
      <c r="G262" s="5"/>
    </row>
    <row r="263" s="1" customFormat="1" ht="18" customHeight="1" spans="1:7">
      <c r="A263" s="5">
        <v>261</v>
      </c>
      <c r="B263" s="5" t="str">
        <f>"田远杰"</f>
        <v>田远杰</v>
      </c>
      <c r="C263" s="5" t="str">
        <f>"70732024102209271743909"</f>
        <v>70732024102209271743909</v>
      </c>
      <c r="D263" s="5" t="str">
        <f t="shared" si="5"/>
        <v>E2024077</v>
      </c>
      <c r="E263" s="5" t="s">
        <v>11</v>
      </c>
      <c r="F263" s="5" t="s">
        <v>12</v>
      </c>
      <c r="G263" s="5"/>
    </row>
    <row r="264" s="1" customFormat="1" ht="18" customHeight="1" spans="1:7">
      <c r="A264" s="5">
        <v>262</v>
      </c>
      <c r="B264" s="5" t="str">
        <f>"张琼娅"</f>
        <v>张琼娅</v>
      </c>
      <c r="C264" s="5" t="str">
        <f>"7073202410142112086164"</f>
        <v>7073202410142112086164</v>
      </c>
      <c r="D264" s="5" t="str">
        <f t="shared" si="5"/>
        <v>E2024077</v>
      </c>
      <c r="E264" s="5" t="s">
        <v>11</v>
      </c>
      <c r="F264" s="5" t="s">
        <v>12</v>
      </c>
      <c r="G264" s="5"/>
    </row>
    <row r="265" s="1" customFormat="1" ht="18" customHeight="1" spans="1:7">
      <c r="A265" s="5">
        <v>263</v>
      </c>
      <c r="B265" s="5" t="str">
        <f>"陈钰杨"</f>
        <v>陈钰杨</v>
      </c>
      <c r="C265" s="5" t="str">
        <f>"70732024102312462455386"</f>
        <v>70732024102312462455386</v>
      </c>
      <c r="D265" s="5" t="str">
        <f t="shared" si="5"/>
        <v>E2024077</v>
      </c>
      <c r="E265" s="5" t="s">
        <v>11</v>
      </c>
      <c r="F265" s="5" t="s">
        <v>12</v>
      </c>
      <c r="G265" s="5"/>
    </row>
    <row r="266" s="1" customFormat="1" ht="18" customHeight="1" spans="1:7">
      <c r="A266" s="5">
        <v>264</v>
      </c>
      <c r="B266" s="5" t="str">
        <f>"谭玉嫦"</f>
        <v>谭玉嫦</v>
      </c>
      <c r="C266" s="5" t="str">
        <f>"70732024102216493247818"</f>
        <v>70732024102216493247818</v>
      </c>
      <c r="D266" s="5" t="str">
        <f t="shared" si="5"/>
        <v>E2024077</v>
      </c>
      <c r="E266" s="5" t="s">
        <v>11</v>
      </c>
      <c r="F266" s="5" t="s">
        <v>12</v>
      </c>
      <c r="G266" s="5"/>
    </row>
    <row r="267" s="1" customFormat="1" ht="18" customHeight="1" spans="1:7">
      <c r="A267" s="5">
        <v>265</v>
      </c>
      <c r="B267" s="5" t="str">
        <f>"赵圆媛"</f>
        <v>赵圆媛</v>
      </c>
      <c r="C267" s="5" t="str">
        <f>"7073202410151707558927"</f>
        <v>7073202410151707558927</v>
      </c>
      <c r="D267" s="5" t="str">
        <f t="shared" ref="D267:D314" si="6">"E2024077"</f>
        <v>E2024077</v>
      </c>
      <c r="E267" s="5" t="s">
        <v>11</v>
      </c>
      <c r="F267" s="5" t="s">
        <v>12</v>
      </c>
      <c r="G267" s="5"/>
    </row>
    <row r="268" s="1" customFormat="1" ht="18" customHeight="1" spans="1:7">
      <c r="A268" s="5">
        <v>266</v>
      </c>
      <c r="B268" s="5" t="str">
        <f>"胡爽"</f>
        <v>胡爽</v>
      </c>
      <c r="C268" s="5" t="str">
        <f>"70732024102013220731408"</f>
        <v>70732024102013220731408</v>
      </c>
      <c r="D268" s="5" t="str">
        <f t="shared" si="6"/>
        <v>E2024077</v>
      </c>
      <c r="E268" s="5" t="s">
        <v>11</v>
      </c>
      <c r="F268" s="5" t="s">
        <v>12</v>
      </c>
      <c r="G268" s="5"/>
    </row>
    <row r="269" s="1" customFormat="1" ht="18" customHeight="1" spans="1:7">
      <c r="A269" s="5">
        <v>267</v>
      </c>
      <c r="B269" s="5" t="str">
        <f>"张莉涓"</f>
        <v>张莉涓</v>
      </c>
      <c r="C269" s="5" t="str">
        <f>"70732024102313333055928"</f>
        <v>70732024102313333055928</v>
      </c>
      <c r="D269" s="5" t="str">
        <f t="shared" si="6"/>
        <v>E2024077</v>
      </c>
      <c r="E269" s="5" t="s">
        <v>11</v>
      </c>
      <c r="F269" s="5" t="s">
        <v>12</v>
      </c>
      <c r="G269" s="5"/>
    </row>
    <row r="270" s="1" customFormat="1" ht="18" customHeight="1" spans="1:7">
      <c r="A270" s="5">
        <v>268</v>
      </c>
      <c r="B270" s="5" t="str">
        <f>"秦棋"</f>
        <v>秦棋</v>
      </c>
      <c r="C270" s="5" t="str">
        <f>"70732024102314450656735"</f>
        <v>70732024102314450656735</v>
      </c>
      <c r="D270" s="5" t="str">
        <f t="shared" si="6"/>
        <v>E2024077</v>
      </c>
      <c r="E270" s="5" t="s">
        <v>11</v>
      </c>
      <c r="F270" s="5" t="s">
        <v>12</v>
      </c>
      <c r="G270" s="5"/>
    </row>
    <row r="271" s="1" customFormat="1" ht="18" customHeight="1" spans="1:7">
      <c r="A271" s="5">
        <v>269</v>
      </c>
      <c r="B271" s="5" t="str">
        <f>"冯琦"</f>
        <v>冯琦</v>
      </c>
      <c r="C271" s="5" t="str">
        <f>"70732024102315084357090"</f>
        <v>70732024102315084357090</v>
      </c>
      <c r="D271" s="5" t="str">
        <f t="shared" si="6"/>
        <v>E2024077</v>
      </c>
      <c r="E271" s="5" t="s">
        <v>11</v>
      </c>
      <c r="F271" s="5" t="s">
        <v>12</v>
      </c>
      <c r="G271" s="5"/>
    </row>
    <row r="272" s="1" customFormat="1" ht="18" customHeight="1" spans="1:7">
      <c r="A272" s="5">
        <v>270</v>
      </c>
      <c r="B272" s="5" t="str">
        <f>"关琳"</f>
        <v>关琳</v>
      </c>
      <c r="C272" s="5" t="str">
        <f>"70732024102223000350425"</f>
        <v>70732024102223000350425</v>
      </c>
      <c r="D272" s="5" t="str">
        <f t="shared" si="6"/>
        <v>E2024077</v>
      </c>
      <c r="E272" s="5" t="s">
        <v>11</v>
      </c>
      <c r="F272" s="5" t="s">
        <v>12</v>
      </c>
      <c r="G272" s="5"/>
    </row>
    <row r="273" s="1" customFormat="1" ht="18" customHeight="1" spans="1:7">
      <c r="A273" s="5">
        <v>271</v>
      </c>
      <c r="B273" s="5" t="str">
        <f>"余杰"</f>
        <v>余杰</v>
      </c>
      <c r="C273" s="5" t="str">
        <f>"70732024102317445959221"</f>
        <v>70732024102317445959221</v>
      </c>
      <c r="D273" s="5" t="str">
        <f t="shared" si="6"/>
        <v>E2024077</v>
      </c>
      <c r="E273" s="5" t="s">
        <v>11</v>
      </c>
      <c r="F273" s="5" t="s">
        <v>12</v>
      </c>
      <c r="G273" s="5"/>
    </row>
    <row r="274" s="1" customFormat="1" ht="18" customHeight="1" spans="1:7">
      <c r="A274" s="5">
        <v>272</v>
      </c>
      <c r="B274" s="5" t="str">
        <f>"张乐"</f>
        <v>张乐</v>
      </c>
      <c r="C274" s="5" t="str">
        <f>"70732024102319052459974"</f>
        <v>70732024102319052459974</v>
      </c>
      <c r="D274" s="5" t="str">
        <f t="shared" si="6"/>
        <v>E2024077</v>
      </c>
      <c r="E274" s="5" t="s">
        <v>11</v>
      </c>
      <c r="F274" s="5" t="s">
        <v>12</v>
      </c>
      <c r="G274" s="5"/>
    </row>
    <row r="275" s="1" customFormat="1" ht="18" customHeight="1" spans="1:7">
      <c r="A275" s="5">
        <v>273</v>
      </c>
      <c r="B275" s="5" t="str">
        <f>"刘媛鑫"</f>
        <v>刘媛鑫</v>
      </c>
      <c r="C275" s="5" t="str">
        <f>"70732024102320213260799"</f>
        <v>70732024102320213260799</v>
      </c>
      <c r="D275" s="5" t="str">
        <f t="shared" si="6"/>
        <v>E2024077</v>
      </c>
      <c r="E275" s="5" t="s">
        <v>11</v>
      </c>
      <c r="F275" s="5" t="s">
        <v>12</v>
      </c>
      <c r="G275" s="5"/>
    </row>
    <row r="276" s="1" customFormat="1" ht="18" customHeight="1" spans="1:7">
      <c r="A276" s="5">
        <v>274</v>
      </c>
      <c r="B276" s="5" t="str">
        <f>"李刘丹山"</f>
        <v>李刘丹山</v>
      </c>
      <c r="C276" s="5" t="str">
        <f>"70732024102319250160156"</f>
        <v>70732024102319250160156</v>
      </c>
      <c r="D276" s="5" t="str">
        <f t="shared" si="6"/>
        <v>E2024077</v>
      </c>
      <c r="E276" s="5" t="s">
        <v>11</v>
      </c>
      <c r="F276" s="5" t="s">
        <v>12</v>
      </c>
      <c r="G276" s="5"/>
    </row>
    <row r="277" s="1" customFormat="1" ht="18" customHeight="1" spans="1:7">
      <c r="A277" s="5">
        <v>275</v>
      </c>
      <c r="B277" s="5" t="str">
        <f>"王兴财"</f>
        <v>王兴财</v>
      </c>
      <c r="C277" s="5" t="str">
        <f>"70732024102320522161171"</f>
        <v>70732024102320522161171</v>
      </c>
      <c r="D277" s="5" t="str">
        <f t="shared" si="6"/>
        <v>E2024077</v>
      </c>
      <c r="E277" s="5" t="s">
        <v>11</v>
      </c>
      <c r="F277" s="5" t="s">
        <v>12</v>
      </c>
      <c r="G277" s="5"/>
    </row>
    <row r="278" s="1" customFormat="1" ht="18" customHeight="1" spans="1:7">
      <c r="A278" s="5">
        <v>276</v>
      </c>
      <c r="B278" s="5" t="str">
        <f>"刘道文"</f>
        <v>刘道文</v>
      </c>
      <c r="C278" s="5" t="str">
        <f>"7073202410121309232258"</f>
        <v>7073202410121309232258</v>
      </c>
      <c r="D278" s="5" t="str">
        <f t="shared" si="6"/>
        <v>E2024077</v>
      </c>
      <c r="E278" s="5" t="s">
        <v>11</v>
      </c>
      <c r="F278" s="5" t="s">
        <v>12</v>
      </c>
      <c r="G278" s="5"/>
    </row>
    <row r="279" s="1" customFormat="1" ht="18" customHeight="1" spans="1:7">
      <c r="A279" s="5">
        <v>277</v>
      </c>
      <c r="B279" s="5" t="str">
        <f>"胡檬"</f>
        <v>胡檬</v>
      </c>
      <c r="C279" s="5" t="str">
        <f>"70732024101919031429675"</f>
        <v>70732024101919031429675</v>
      </c>
      <c r="D279" s="5" t="str">
        <f t="shared" si="6"/>
        <v>E2024077</v>
      </c>
      <c r="E279" s="5" t="s">
        <v>11</v>
      </c>
      <c r="F279" s="5" t="s">
        <v>12</v>
      </c>
      <c r="G279" s="5"/>
    </row>
    <row r="280" s="1" customFormat="1" ht="18" customHeight="1" spans="1:7">
      <c r="A280" s="5">
        <v>278</v>
      </c>
      <c r="B280" s="5" t="str">
        <f>"黄琪"</f>
        <v>黄琪</v>
      </c>
      <c r="C280" s="5" t="str">
        <f>"70732024102322085962062"</f>
        <v>70732024102322085962062</v>
      </c>
      <c r="D280" s="5" t="str">
        <f t="shared" si="6"/>
        <v>E2024077</v>
      </c>
      <c r="E280" s="5" t="s">
        <v>11</v>
      </c>
      <c r="F280" s="5" t="s">
        <v>12</v>
      </c>
      <c r="G280" s="5"/>
    </row>
    <row r="281" s="1" customFormat="1" ht="18" customHeight="1" spans="1:7">
      <c r="A281" s="5">
        <v>279</v>
      </c>
      <c r="B281" s="5" t="str">
        <f>"周秋平"</f>
        <v>周秋平</v>
      </c>
      <c r="C281" s="5" t="str">
        <f>"70732024102409111863861"</f>
        <v>70732024102409111863861</v>
      </c>
      <c r="D281" s="5" t="str">
        <f t="shared" si="6"/>
        <v>E2024077</v>
      </c>
      <c r="E281" s="5" t="s">
        <v>11</v>
      </c>
      <c r="F281" s="5" t="s">
        <v>12</v>
      </c>
      <c r="G281" s="5"/>
    </row>
    <row r="282" s="1" customFormat="1" ht="18" customHeight="1" spans="1:7">
      <c r="A282" s="5">
        <v>280</v>
      </c>
      <c r="B282" s="5" t="str">
        <f>"满伟"</f>
        <v>满伟</v>
      </c>
      <c r="C282" s="5" t="str">
        <f>"70732024102409382264228"</f>
        <v>70732024102409382264228</v>
      </c>
      <c r="D282" s="5" t="str">
        <f t="shared" si="6"/>
        <v>E2024077</v>
      </c>
      <c r="E282" s="5" t="s">
        <v>11</v>
      </c>
      <c r="F282" s="5" t="s">
        <v>12</v>
      </c>
      <c r="G282" s="5"/>
    </row>
    <row r="283" s="1" customFormat="1" ht="18" customHeight="1" spans="1:7">
      <c r="A283" s="5">
        <v>281</v>
      </c>
      <c r="B283" s="5" t="str">
        <f>"黄国蓉"</f>
        <v>黄国蓉</v>
      </c>
      <c r="C283" s="5" t="str">
        <f>"70732024102409311764122"</f>
        <v>70732024102409311764122</v>
      </c>
      <c r="D283" s="5" t="str">
        <f t="shared" si="6"/>
        <v>E2024077</v>
      </c>
      <c r="E283" s="5" t="s">
        <v>11</v>
      </c>
      <c r="F283" s="5" t="s">
        <v>12</v>
      </c>
      <c r="G283" s="5"/>
    </row>
    <row r="284" s="1" customFormat="1" ht="18" customHeight="1" spans="1:7">
      <c r="A284" s="5">
        <v>282</v>
      </c>
      <c r="B284" s="5" t="str">
        <f>"谭娇"</f>
        <v>谭娇</v>
      </c>
      <c r="C284" s="5" t="str">
        <f>"70732024102409531964427"</f>
        <v>70732024102409531964427</v>
      </c>
      <c r="D284" s="5" t="str">
        <f t="shared" si="6"/>
        <v>E2024077</v>
      </c>
      <c r="E284" s="5" t="s">
        <v>11</v>
      </c>
      <c r="F284" s="5" t="s">
        <v>12</v>
      </c>
      <c r="G284" s="5"/>
    </row>
    <row r="285" s="1" customFormat="1" ht="18" customHeight="1" spans="1:7">
      <c r="A285" s="5">
        <v>283</v>
      </c>
      <c r="B285" s="5" t="str">
        <f>"邓蓉"</f>
        <v>邓蓉</v>
      </c>
      <c r="C285" s="5" t="str">
        <f>"70732024102409423264281"</f>
        <v>70732024102409423264281</v>
      </c>
      <c r="D285" s="5" t="str">
        <f t="shared" si="6"/>
        <v>E2024077</v>
      </c>
      <c r="E285" s="5" t="s">
        <v>11</v>
      </c>
      <c r="F285" s="5" t="s">
        <v>12</v>
      </c>
      <c r="G285" s="5"/>
    </row>
    <row r="286" s="1" customFormat="1" ht="18" customHeight="1" spans="1:7">
      <c r="A286" s="5">
        <v>284</v>
      </c>
      <c r="B286" s="5" t="str">
        <f>"胡敏"</f>
        <v>胡敏</v>
      </c>
      <c r="C286" s="5" t="str">
        <f>"70732024102410494465193"</f>
        <v>70732024102410494465193</v>
      </c>
      <c r="D286" s="5" t="str">
        <f t="shared" si="6"/>
        <v>E2024077</v>
      </c>
      <c r="E286" s="5" t="s">
        <v>11</v>
      </c>
      <c r="F286" s="5" t="s">
        <v>12</v>
      </c>
      <c r="G286" s="5"/>
    </row>
    <row r="287" s="1" customFormat="1" ht="18" customHeight="1" spans="1:7">
      <c r="A287" s="5">
        <v>285</v>
      </c>
      <c r="B287" s="5" t="str">
        <f>"张淼"</f>
        <v>张淼</v>
      </c>
      <c r="C287" s="5" t="str">
        <f>"70732024102410491465182"</f>
        <v>70732024102410491465182</v>
      </c>
      <c r="D287" s="5" t="str">
        <f t="shared" si="6"/>
        <v>E2024077</v>
      </c>
      <c r="E287" s="5" t="s">
        <v>11</v>
      </c>
      <c r="F287" s="5" t="s">
        <v>12</v>
      </c>
      <c r="G287" s="5"/>
    </row>
    <row r="288" s="1" customFormat="1" ht="18" customHeight="1" spans="1:7">
      <c r="A288" s="5">
        <v>286</v>
      </c>
      <c r="B288" s="5" t="str">
        <f>"沈小萌"</f>
        <v>沈小萌</v>
      </c>
      <c r="C288" s="5" t="str">
        <f>"70732024102412141566069"</f>
        <v>70732024102412141566069</v>
      </c>
      <c r="D288" s="5" t="str">
        <f t="shared" si="6"/>
        <v>E2024077</v>
      </c>
      <c r="E288" s="5" t="s">
        <v>11</v>
      </c>
      <c r="F288" s="5" t="s">
        <v>12</v>
      </c>
      <c r="G288" s="5"/>
    </row>
    <row r="289" s="1" customFormat="1" ht="18" customHeight="1" spans="1:7">
      <c r="A289" s="5">
        <v>287</v>
      </c>
      <c r="B289" s="5" t="str">
        <f>"谭骁"</f>
        <v>谭骁</v>
      </c>
      <c r="C289" s="5" t="str">
        <f>"70732024102410555165273"</f>
        <v>70732024102410555165273</v>
      </c>
      <c r="D289" s="5" t="str">
        <f t="shared" si="6"/>
        <v>E2024077</v>
      </c>
      <c r="E289" s="5" t="s">
        <v>11</v>
      </c>
      <c r="F289" s="5" t="s">
        <v>12</v>
      </c>
      <c r="G289" s="5"/>
    </row>
    <row r="290" s="1" customFormat="1" ht="18" customHeight="1" spans="1:7">
      <c r="A290" s="5">
        <v>288</v>
      </c>
      <c r="B290" s="5" t="str">
        <f>"王向祥"</f>
        <v>王向祥</v>
      </c>
      <c r="C290" s="5" t="str">
        <f>"70732024102412141866071"</f>
        <v>70732024102412141866071</v>
      </c>
      <c r="D290" s="5" t="str">
        <f t="shared" si="6"/>
        <v>E2024077</v>
      </c>
      <c r="E290" s="5" t="s">
        <v>11</v>
      </c>
      <c r="F290" s="5" t="s">
        <v>12</v>
      </c>
      <c r="G290" s="5"/>
    </row>
    <row r="291" s="1" customFormat="1" ht="18" customHeight="1" spans="1:7">
      <c r="A291" s="5">
        <v>289</v>
      </c>
      <c r="B291" s="5" t="str">
        <f>"尹姣燕"</f>
        <v>尹姣燕</v>
      </c>
      <c r="C291" s="5" t="str">
        <f>"70732024102315220657298"</f>
        <v>70732024102315220657298</v>
      </c>
      <c r="D291" s="5" t="str">
        <f t="shared" si="6"/>
        <v>E2024077</v>
      </c>
      <c r="E291" s="5" t="s">
        <v>11</v>
      </c>
      <c r="F291" s="5" t="s">
        <v>12</v>
      </c>
      <c r="G291" s="5"/>
    </row>
    <row r="292" s="1" customFormat="1" ht="18" customHeight="1" spans="1:7">
      <c r="A292" s="5">
        <v>290</v>
      </c>
      <c r="B292" s="5" t="str">
        <f>"罗龙"</f>
        <v>罗龙</v>
      </c>
      <c r="C292" s="5" t="str">
        <f>"70732024102414400667362"</f>
        <v>70732024102414400667362</v>
      </c>
      <c r="D292" s="5" t="str">
        <f t="shared" si="6"/>
        <v>E2024077</v>
      </c>
      <c r="E292" s="5" t="s">
        <v>11</v>
      </c>
      <c r="F292" s="5" t="s">
        <v>12</v>
      </c>
      <c r="G292" s="5"/>
    </row>
    <row r="293" s="1" customFormat="1" ht="18" customHeight="1" spans="1:7">
      <c r="A293" s="5">
        <v>291</v>
      </c>
      <c r="B293" s="5" t="str">
        <f>"杨榕"</f>
        <v>杨榕</v>
      </c>
      <c r="C293" s="5" t="str">
        <f>"70732024102418440769894"</f>
        <v>70732024102418440769894</v>
      </c>
      <c r="D293" s="5" t="str">
        <f t="shared" si="6"/>
        <v>E2024077</v>
      </c>
      <c r="E293" s="5" t="s">
        <v>11</v>
      </c>
      <c r="F293" s="5" t="s">
        <v>12</v>
      </c>
      <c r="G293" s="5"/>
    </row>
    <row r="294" s="1" customFormat="1" ht="18" customHeight="1" spans="1:7">
      <c r="A294" s="5">
        <v>292</v>
      </c>
      <c r="B294" s="5" t="str">
        <f>"黄春霞"</f>
        <v>黄春霞</v>
      </c>
      <c r="C294" s="5" t="str">
        <f>"70732024102418464369916"</f>
        <v>70732024102418464369916</v>
      </c>
      <c r="D294" s="5" t="str">
        <f t="shared" si="6"/>
        <v>E2024077</v>
      </c>
      <c r="E294" s="5" t="s">
        <v>11</v>
      </c>
      <c r="F294" s="5" t="s">
        <v>12</v>
      </c>
      <c r="G294" s="5"/>
    </row>
    <row r="295" s="1" customFormat="1" ht="18" customHeight="1" spans="1:7">
      <c r="A295" s="5">
        <v>293</v>
      </c>
      <c r="B295" s="5" t="str">
        <f>"冉姣"</f>
        <v>冉姣</v>
      </c>
      <c r="C295" s="5" t="str">
        <f>"70732024102420355070920"</f>
        <v>70732024102420355070920</v>
      </c>
      <c r="D295" s="5" t="str">
        <f t="shared" si="6"/>
        <v>E2024077</v>
      </c>
      <c r="E295" s="5" t="s">
        <v>11</v>
      </c>
      <c r="F295" s="5" t="s">
        <v>12</v>
      </c>
      <c r="G295" s="5"/>
    </row>
    <row r="296" s="1" customFormat="1" ht="18" customHeight="1" spans="1:7">
      <c r="A296" s="5">
        <v>294</v>
      </c>
      <c r="B296" s="5" t="str">
        <f>"肖琼"</f>
        <v>肖琼</v>
      </c>
      <c r="C296" s="5" t="str">
        <f>"70732024102420234370796"</f>
        <v>70732024102420234370796</v>
      </c>
      <c r="D296" s="5" t="str">
        <f t="shared" si="6"/>
        <v>E2024077</v>
      </c>
      <c r="E296" s="5" t="s">
        <v>11</v>
      </c>
      <c r="F296" s="5" t="s">
        <v>12</v>
      </c>
      <c r="G296" s="5"/>
    </row>
    <row r="297" s="1" customFormat="1" ht="18" customHeight="1" spans="1:7">
      <c r="A297" s="5">
        <v>295</v>
      </c>
      <c r="B297" s="5" t="str">
        <f>"刘兴东"</f>
        <v>刘兴东</v>
      </c>
      <c r="C297" s="5" t="str">
        <f>"70732024102420045870612"</f>
        <v>70732024102420045870612</v>
      </c>
      <c r="D297" s="5" t="str">
        <f t="shared" si="6"/>
        <v>E2024077</v>
      </c>
      <c r="E297" s="5" t="s">
        <v>11</v>
      </c>
      <c r="F297" s="5" t="s">
        <v>12</v>
      </c>
      <c r="G297" s="5"/>
    </row>
    <row r="298" s="1" customFormat="1" ht="18" customHeight="1" spans="1:7">
      <c r="A298" s="5">
        <v>296</v>
      </c>
      <c r="B298" s="5" t="str">
        <f>"唐芳"</f>
        <v>唐芳</v>
      </c>
      <c r="C298" s="5" t="str">
        <f>"70732024102422034171755"</f>
        <v>70732024102422034171755</v>
      </c>
      <c r="D298" s="5" t="str">
        <f t="shared" si="6"/>
        <v>E2024077</v>
      </c>
      <c r="E298" s="5" t="s">
        <v>11</v>
      </c>
      <c r="F298" s="5" t="s">
        <v>12</v>
      </c>
      <c r="G298" s="5"/>
    </row>
    <row r="299" s="1" customFormat="1" ht="18" customHeight="1" spans="1:7">
      <c r="A299" s="5">
        <v>297</v>
      </c>
      <c r="B299" s="5" t="str">
        <f>"向二俊"</f>
        <v>向二俊</v>
      </c>
      <c r="C299" s="5" t="str">
        <f>"70732024102422354272038"</f>
        <v>70732024102422354272038</v>
      </c>
      <c r="D299" s="5" t="str">
        <f t="shared" si="6"/>
        <v>E2024077</v>
      </c>
      <c r="E299" s="5" t="s">
        <v>11</v>
      </c>
      <c r="F299" s="5" t="s">
        <v>12</v>
      </c>
      <c r="G299" s="5"/>
    </row>
    <row r="300" s="1" customFormat="1" ht="18" customHeight="1" spans="1:7">
      <c r="A300" s="5">
        <v>298</v>
      </c>
      <c r="B300" s="5" t="str">
        <f>"涂巧"</f>
        <v>涂巧</v>
      </c>
      <c r="C300" s="5" t="str">
        <f>"70732024102410462665135"</f>
        <v>70732024102410462665135</v>
      </c>
      <c r="D300" s="5" t="str">
        <f t="shared" si="6"/>
        <v>E2024077</v>
      </c>
      <c r="E300" s="5" t="s">
        <v>11</v>
      </c>
      <c r="F300" s="5" t="s">
        <v>12</v>
      </c>
      <c r="G300" s="5"/>
    </row>
    <row r="301" s="1" customFormat="1" ht="18" customHeight="1" spans="1:7">
      <c r="A301" s="5">
        <v>299</v>
      </c>
      <c r="B301" s="5" t="str">
        <f>"周杰"</f>
        <v>周杰</v>
      </c>
      <c r="C301" s="5" t="str">
        <f>"70732024102509391473623"</f>
        <v>70732024102509391473623</v>
      </c>
      <c r="D301" s="5" t="str">
        <f t="shared" si="6"/>
        <v>E2024077</v>
      </c>
      <c r="E301" s="5" t="s">
        <v>11</v>
      </c>
      <c r="F301" s="5" t="s">
        <v>12</v>
      </c>
      <c r="G301" s="5"/>
    </row>
    <row r="302" s="1" customFormat="1" ht="18" customHeight="1" spans="1:7">
      <c r="A302" s="5">
        <v>300</v>
      </c>
      <c r="B302" s="5" t="str">
        <f>"王群"</f>
        <v>王群</v>
      </c>
      <c r="C302" s="5" t="str">
        <f>"70732024102509233973448"</f>
        <v>70732024102509233973448</v>
      </c>
      <c r="D302" s="5" t="str">
        <f t="shared" si="6"/>
        <v>E2024077</v>
      </c>
      <c r="E302" s="5" t="s">
        <v>11</v>
      </c>
      <c r="F302" s="5" t="s">
        <v>12</v>
      </c>
      <c r="G302" s="5"/>
    </row>
    <row r="303" s="1" customFormat="1" ht="18" customHeight="1" spans="1:7">
      <c r="A303" s="5">
        <v>301</v>
      </c>
      <c r="B303" s="5" t="str">
        <f>"冯欣宇"</f>
        <v>冯欣宇</v>
      </c>
      <c r="C303" s="5" t="str">
        <f>"70732024102510140773976"</f>
        <v>70732024102510140773976</v>
      </c>
      <c r="D303" s="5" t="str">
        <f t="shared" si="6"/>
        <v>E2024077</v>
      </c>
      <c r="E303" s="5" t="s">
        <v>11</v>
      </c>
      <c r="F303" s="5" t="s">
        <v>12</v>
      </c>
      <c r="G303" s="5"/>
    </row>
    <row r="304" s="1" customFormat="1" ht="18" customHeight="1" spans="1:7">
      <c r="A304" s="5">
        <v>302</v>
      </c>
      <c r="B304" s="5" t="str">
        <f>"方燕"</f>
        <v>方燕</v>
      </c>
      <c r="C304" s="5" t="str">
        <f>"70732024102310575853913"</f>
        <v>70732024102310575853913</v>
      </c>
      <c r="D304" s="5" t="str">
        <f t="shared" si="6"/>
        <v>E2024077</v>
      </c>
      <c r="E304" s="5" t="s">
        <v>11</v>
      </c>
      <c r="F304" s="5" t="s">
        <v>12</v>
      </c>
      <c r="G304" s="5"/>
    </row>
    <row r="305" s="1" customFormat="1" ht="18" customHeight="1" spans="1:7">
      <c r="A305" s="5">
        <v>303</v>
      </c>
      <c r="B305" s="5" t="str">
        <f>"姚菊梅"</f>
        <v>姚菊梅</v>
      </c>
      <c r="C305" s="5" t="str">
        <f>"70732024102510381474264"</f>
        <v>70732024102510381474264</v>
      </c>
      <c r="D305" s="5" t="str">
        <f t="shared" si="6"/>
        <v>E2024077</v>
      </c>
      <c r="E305" s="5" t="s">
        <v>11</v>
      </c>
      <c r="F305" s="5" t="s">
        <v>12</v>
      </c>
      <c r="G305" s="5"/>
    </row>
    <row r="306" s="1" customFormat="1" ht="18" customHeight="1" spans="1:7">
      <c r="A306" s="5">
        <v>304</v>
      </c>
      <c r="B306" s="5" t="str">
        <f>"洪杰"</f>
        <v>洪杰</v>
      </c>
      <c r="C306" s="5" t="str">
        <f>"70732024102020271632726"</f>
        <v>70732024102020271632726</v>
      </c>
      <c r="D306" s="5" t="str">
        <f t="shared" si="6"/>
        <v>E2024077</v>
      </c>
      <c r="E306" s="5" t="s">
        <v>11</v>
      </c>
      <c r="F306" s="5" t="s">
        <v>12</v>
      </c>
      <c r="G306" s="5"/>
    </row>
    <row r="307" s="1" customFormat="1" ht="18" customHeight="1" spans="1:7">
      <c r="A307" s="5">
        <v>305</v>
      </c>
      <c r="B307" s="5" t="str">
        <f>"程爽"</f>
        <v>程爽</v>
      </c>
      <c r="C307" s="5" t="str">
        <f>"70732024102509295473525"</f>
        <v>70732024102509295473525</v>
      </c>
      <c r="D307" s="5" t="str">
        <f t="shared" si="6"/>
        <v>E2024077</v>
      </c>
      <c r="E307" s="5" t="s">
        <v>11</v>
      </c>
      <c r="F307" s="5" t="s">
        <v>12</v>
      </c>
      <c r="G307" s="5"/>
    </row>
    <row r="308" s="1" customFormat="1" ht="18" customHeight="1" spans="1:7">
      <c r="A308" s="5">
        <v>306</v>
      </c>
      <c r="B308" s="5" t="str">
        <f>"张立京"</f>
        <v>张立京</v>
      </c>
      <c r="C308" s="5" t="str">
        <f>"70732024102418182469703"</f>
        <v>70732024102418182469703</v>
      </c>
      <c r="D308" s="5" t="str">
        <f t="shared" si="6"/>
        <v>E2024077</v>
      </c>
      <c r="E308" s="5" t="s">
        <v>11</v>
      </c>
      <c r="F308" s="5" t="s">
        <v>12</v>
      </c>
      <c r="G308" s="5"/>
    </row>
    <row r="309" s="1" customFormat="1" ht="18" customHeight="1" spans="1:7">
      <c r="A309" s="5">
        <v>307</v>
      </c>
      <c r="B309" s="5" t="str">
        <f>"欧艳伶"</f>
        <v>欧艳伶</v>
      </c>
      <c r="C309" s="5" t="str">
        <f>"70732024102512493375447"</f>
        <v>70732024102512493375447</v>
      </c>
      <c r="D309" s="5" t="str">
        <f t="shared" si="6"/>
        <v>E2024077</v>
      </c>
      <c r="E309" s="5" t="s">
        <v>11</v>
      </c>
      <c r="F309" s="5" t="s">
        <v>12</v>
      </c>
      <c r="G309" s="5"/>
    </row>
    <row r="310" s="1" customFormat="1" ht="18" customHeight="1" spans="1:7">
      <c r="A310" s="5">
        <v>308</v>
      </c>
      <c r="B310" s="5" t="str">
        <f>"陈凤"</f>
        <v>陈凤</v>
      </c>
      <c r="C310" s="5" t="str">
        <f>"70732024102512481375436"</f>
        <v>70732024102512481375436</v>
      </c>
      <c r="D310" s="5" t="str">
        <f t="shared" si="6"/>
        <v>E2024077</v>
      </c>
      <c r="E310" s="5" t="s">
        <v>11</v>
      </c>
      <c r="F310" s="5" t="s">
        <v>12</v>
      </c>
      <c r="G310" s="5"/>
    </row>
    <row r="311" s="1" customFormat="1" ht="18" customHeight="1" spans="1:7">
      <c r="A311" s="5">
        <v>309</v>
      </c>
      <c r="B311" s="5" t="str">
        <f>"罗颖"</f>
        <v>罗颖</v>
      </c>
      <c r="C311" s="5" t="str">
        <f>"70732024102513113075658"</f>
        <v>70732024102513113075658</v>
      </c>
      <c r="D311" s="5" t="str">
        <f t="shared" si="6"/>
        <v>E2024077</v>
      </c>
      <c r="E311" s="5" t="s">
        <v>11</v>
      </c>
      <c r="F311" s="5" t="s">
        <v>12</v>
      </c>
      <c r="G311" s="5"/>
    </row>
    <row r="312" s="1" customFormat="1" ht="18" customHeight="1" spans="1:7">
      <c r="A312" s="5">
        <v>310</v>
      </c>
      <c r="B312" s="5" t="str">
        <f>"李朝阳"</f>
        <v>李朝阳</v>
      </c>
      <c r="C312" s="5" t="str">
        <f>"70732024102509110373327"</f>
        <v>70732024102509110373327</v>
      </c>
      <c r="D312" s="5" t="str">
        <f t="shared" si="6"/>
        <v>E2024077</v>
      </c>
      <c r="E312" s="5" t="s">
        <v>11</v>
      </c>
      <c r="F312" s="5" t="s">
        <v>12</v>
      </c>
      <c r="G312" s="5"/>
    </row>
    <row r="313" s="1" customFormat="1" ht="18" customHeight="1" spans="1:7">
      <c r="A313" s="5">
        <v>311</v>
      </c>
      <c r="B313" s="5" t="str">
        <f>"李俊"</f>
        <v>李俊</v>
      </c>
      <c r="C313" s="5" t="str">
        <f>"70732024102514502976522"</f>
        <v>70732024102514502976522</v>
      </c>
      <c r="D313" s="5" t="str">
        <f t="shared" si="6"/>
        <v>E2024077</v>
      </c>
      <c r="E313" s="5" t="s">
        <v>11</v>
      </c>
      <c r="F313" s="5" t="s">
        <v>12</v>
      </c>
      <c r="G313" s="5"/>
    </row>
    <row r="314" s="1" customFormat="1" ht="18" customHeight="1" spans="1:7">
      <c r="A314" s="5">
        <v>312</v>
      </c>
      <c r="B314" s="5" t="str">
        <f>"丁晋玲"</f>
        <v>丁晋玲</v>
      </c>
      <c r="C314" s="5" t="str">
        <f>"70732024102516362677785"</f>
        <v>70732024102516362677785</v>
      </c>
      <c r="D314" s="5" t="str">
        <f t="shared" si="6"/>
        <v>E2024077</v>
      </c>
      <c r="E314" s="5" t="s">
        <v>11</v>
      </c>
      <c r="F314" s="5" t="s">
        <v>12</v>
      </c>
      <c r="G314" s="5"/>
    </row>
    <row r="315" s="1" customFormat="1" ht="18" customHeight="1" spans="1:7">
      <c r="A315" s="5">
        <v>313</v>
      </c>
      <c r="B315" s="5" t="str">
        <f>"田志鑫"</f>
        <v>田志鑫</v>
      </c>
      <c r="C315" s="5" t="str">
        <f>"7073202410120902091476"</f>
        <v>7073202410120902091476</v>
      </c>
      <c r="D315" s="5" t="str">
        <f t="shared" ref="D315:D378" si="7">"E2024078"</f>
        <v>E2024078</v>
      </c>
      <c r="E315" s="5" t="s">
        <v>13</v>
      </c>
      <c r="F315" s="5" t="s">
        <v>14</v>
      </c>
      <c r="G315" s="5"/>
    </row>
    <row r="316" s="1" customFormat="1" ht="18" customHeight="1" spans="1:7">
      <c r="A316" s="5">
        <v>314</v>
      </c>
      <c r="B316" s="5" t="str">
        <f>"杨兴桦"</f>
        <v>杨兴桦</v>
      </c>
      <c r="C316" s="5" t="str">
        <f>"7073202410120917371560"</f>
        <v>7073202410120917371560</v>
      </c>
      <c r="D316" s="5" t="str">
        <f t="shared" si="7"/>
        <v>E2024078</v>
      </c>
      <c r="E316" s="5" t="s">
        <v>13</v>
      </c>
      <c r="F316" s="5" t="s">
        <v>14</v>
      </c>
      <c r="G316" s="5"/>
    </row>
    <row r="317" s="1" customFormat="1" ht="18" customHeight="1" spans="1:7">
      <c r="A317" s="5">
        <v>315</v>
      </c>
      <c r="B317" s="5" t="str">
        <f>"曹晋瑜"</f>
        <v>曹晋瑜</v>
      </c>
      <c r="C317" s="5" t="str">
        <f>"7073202410121018551803"</f>
        <v>7073202410121018551803</v>
      </c>
      <c r="D317" s="5" t="str">
        <f t="shared" si="7"/>
        <v>E2024078</v>
      </c>
      <c r="E317" s="5" t="s">
        <v>13</v>
      </c>
      <c r="F317" s="5" t="s">
        <v>14</v>
      </c>
      <c r="G317" s="5"/>
    </row>
    <row r="318" s="1" customFormat="1" ht="18" customHeight="1" spans="1:7">
      <c r="A318" s="5">
        <v>316</v>
      </c>
      <c r="B318" s="5" t="str">
        <f>"王树欣"</f>
        <v>王树欣</v>
      </c>
      <c r="C318" s="5" t="str">
        <f>"7073202410121106211956"</f>
        <v>7073202410121106211956</v>
      </c>
      <c r="D318" s="5" t="str">
        <f t="shared" si="7"/>
        <v>E2024078</v>
      </c>
      <c r="E318" s="5" t="s">
        <v>13</v>
      </c>
      <c r="F318" s="5" t="s">
        <v>14</v>
      </c>
      <c r="G318" s="5"/>
    </row>
    <row r="319" s="1" customFormat="1" ht="18" customHeight="1" spans="1:7">
      <c r="A319" s="5">
        <v>317</v>
      </c>
      <c r="B319" s="5" t="str">
        <f>"程瑞祥"</f>
        <v>程瑞祥</v>
      </c>
      <c r="C319" s="5" t="str">
        <f>"7073202410121107331962"</f>
        <v>7073202410121107331962</v>
      </c>
      <c r="D319" s="5" t="str">
        <f t="shared" si="7"/>
        <v>E2024078</v>
      </c>
      <c r="E319" s="5" t="s">
        <v>13</v>
      </c>
      <c r="F319" s="5" t="s">
        <v>14</v>
      </c>
      <c r="G319" s="5"/>
    </row>
    <row r="320" s="1" customFormat="1" ht="18" customHeight="1" spans="1:7">
      <c r="A320" s="5">
        <v>318</v>
      </c>
      <c r="B320" s="5" t="str">
        <f>"肖雨"</f>
        <v>肖雨</v>
      </c>
      <c r="C320" s="5" t="str">
        <f>"7073202410121152502104"</f>
        <v>7073202410121152502104</v>
      </c>
      <c r="D320" s="5" t="str">
        <f t="shared" si="7"/>
        <v>E2024078</v>
      </c>
      <c r="E320" s="5" t="s">
        <v>13</v>
      </c>
      <c r="F320" s="5" t="s">
        <v>14</v>
      </c>
      <c r="G320" s="5"/>
    </row>
    <row r="321" s="1" customFormat="1" ht="18" customHeight="1" spans="1:7">
      <c r="A321" s="5">
        <v>319</v>
      </c>
      <c r="B321" s="5" t="str">
        <f>"向树林"</f>
        <v>向树林</v>
      </c>
      <c r="C321" s="5" t="str">
        <f>"7073202410121633422654"</f>
        <v>7073202410121633422654</v>
      </c>
      <c r="D321" s="5" t="str">
        <f t="shared" si="7"/>
        <v>E2024078</v>
      </c>
      <c r="E321" s="5" t="s">
        <v>13</v>
      </c>
      <c r="F321" s="5" t="s">
        <v>14</v>
      </c>
      <c r="G321" s="5"/>
    </row>
    <row r="322" s="1" customFormat="1" ht="18" customHeight="1" spans="1:7">
      <c r="A322" s="5">
        <v>320</v>
      </c>
      <c r="B322" s="5" t="str">
        <f>"杨稳"</f>
        <v>杨稳</v>
      </c>
      <c r="C322" s="5" t="str">
        <f>"7073202410121633162653"</f>
        <v>7073202410121633162653</v>
      </c>
      <c r="D322" s="5" t="str">
        <f t="shared" si="7"/>
        <v>E2024078</v>
      </c>
      <c r="E322" s="5" t="s">
        <v>13</v>
      </c>
      <c r="F322" s="5" t="s">
        <v>14</v>
      </c>
      <c r="G322" s="5"/>
    </row>
    <row r="323" s="1" customFormat="1" ht="18" customHeight="1" spans="1:7">
      <c r="A323" s="5">
        <v>321</v>
      </c>
      <c r="B323" s="5" t="str">
        <f>"徐谊"</f>
        <v>徐谊</v>
      </c>
      <c r="C323" s="5" t="str">
        <f>"7073202410121645512684"</f>
        <v>7073202410121645512684</v>
      </c>
      <c r="D323" s="5" t="str">
        <f t="shared" si="7"/>
        <v>E2024078</v>
      </c>
      <c r="E323" s="5" t="s">
        <v>13</v>
      </c>
      <c r="F323" s="5" t="s">
        <v>14</v>
      </c>
      <c r="G323" s="5"/>
    </row>
    <row r="324" s="1" customFormat="1" ht="18" customHeight="1" spans="1:7">
      <c r="A324" s="5">
        <v>322</v>
      </c>
      <c r="B324" s="5" t="str">
        <f>"罗佳馨"</f>
        <v>罗佳馨</v>
      </c>
      <c r="C324" s="5" t="str">
        <f>"7073202410121133482038"</f>
        <v>7073202410121133482038</v>
      </c>
      <c r="D324" s="5" t="str">
        <f t="shared" si="7"/>
        <v>E2024078</v>
      </c>
      <c r="E324" s="5" t="s">
        <v>13</v>
      </c>
      <c r="F324" s="5" t="s">
        <v>14</v>
      </c>
      <c r="G324" s="5"/>
    </row>
    <row r="325" s="1" customFormat="1" ht="18" customHeight="1" spans="1:7">
      <c r="A325" s="5">
        <v>323</v>
      </c>
      <c r="B325" s="5" t="str">
        <f>"余明蔚"</f>
        <v>余明蔚</v>
      </c>
      <c r="C325" s="5" t="str">
        <f>"7073202410122034422964"</f>
        <v>7073202410122034422964</v>
      </c>
      <c r="D325" s="5" t="str">
        <f t="shared" si="7"/>
        <v>E2024078</v>
      </c>
      <c r="E325" s="5" t="s">
        <v>13</v>
      </c>
      <c r="F325" s="5" t="s">
        <v>14</v>
      </c>
      <c r="G325" s="5"/>
    </row>
    <row r="326" s="1" customFormat="1" ht="18" customHeight="1" spans="1:7">
      <c r="A326" s="5">
        <v>324</v>
      </c>
      <c r="B326" s="5" t="str">
        <f>"谷俊伟"</f>
        <v>谷俊伟</v>
      </c>
      <c r="C326" s="5" t="str">
        <f>"7073202410122142023034"</f>
        <v>7073202410122142023034</v>
      </c>
      <c r="D326" s="5" t="str">
        <f t="shared" si="7"/>
        <v>E2024078</v>
      </c>
      <c r="E326" s="5" t="s">
        <v>13</v>
      </c>
      <c r="F326" s="5" t="s">
        <v>14</v>
      </c>
      <c r="G326" s="5"/>
    </row>
    <row r="327" s="1" customFormat="1" ht="18" customHeight="1" spans="1:7">
      <c r="A327" s="5">
        <v>325</v>
      </c>
      <c r="B327" s="5" t="str">
        <f>"汪鑫"</f>
        <v>汪鑫</v>
      </c>
      <c r="C327" s="5" t="str">
        <f>"7073202410122144543036"</f>
        <v>7073202410122144543036</v>
      </c>
      <c r="D327" s="5" t="str">
        <f t="shared" si="7"/>
        <v>E2024078</v>
      </c>
      <c r="E327" s="5" t="s">
        <v>13</v>
      </c>
      <c r="F327" s="5" t="s">
        <v>14</v>
      </c>
      <c r="G327" s="5"/>
    </row>
    <row r="328" s="1" customFormat="1" ht="18" customHeight="1" spans="1:7">
      <c r="A328" s="5">
        <v>326</v>
      </c>
      <c r="B328" s="5" t="str">
        <f>"谭健勇"</f>
        <v>谭健勇</v>
      </c>
      <c r="C328" s="5" t="str">
        <f>"7073202410131123503298"</f>
        <v>7073202410131123503298</v>
      </c>
      <c r="D328" s="5" t="str">
        <f t="shared" si="7"/>
        <v>E2024078</v>
      </c>
      <c r="E328" s="5" t="s">
        <v>13</v>
      </c>
      <c r="F328" s="5" t="s">
        <v>14</v>
      </c>
      <c r="G328" s="5"/>
    </row>
    <row r="329" s="1" customFormat="1" ht="18" customHeight="1" spans="1:7">
      <c r="A329" s="5">
        <v>327</v>
      </c>
      <c r="B329" s="5" t="str">
        <f>"蔡朋"</f>
        <v>蔡朋</v>
      </c>
      <c r="C329" s="5" t="str">
        <f>"7073202410131140113317"</f>
        <v>7073202410131140113317</v>
      </c>
      <c r="D329" s="5" t="str">
        <f t="shared" si="7"/>
        <v>E2024078</v>
      </c>
      <c r="E329" s="5" t="s">
        <v>13</v>
      </c>
      <c r="F329" s="5" t="s">
        <v>14</v>
      </c>
      <c r="G329" s="5"/>
    </row>
    <row r="330" s="1" customFormat="1" ht="18" customHeight="1" spans="1:7">
      <c r="A330" s="5">
        <v>328</v>
      </c>
      <c r="B330" s="5" t="str">
        <f>"向健雄"</f>
        <v>向健雄</v>
      </c>
      <c r="C330" s="5" t="str">
        <f>"7073202410131335523415"</f>
        <v>7073202410131335523415</v>
      </c>
      <c r="D330" s="5" t="str">
        <f t="shared" si="7"/>
        <v>E2024078</v>
      </c>
      <c r="E330" s="5" t="s">
        <v>13</v>
      </c>
      <c r="F330" s="5" t="s">
        <v>14</v>
      </c>
      <c r="G330" s="5"/>
    </row>
    <row r="331" s="1" customFormat="1" ht="18" customHeight="1" spans="1:7">
      <c r="A331" s="5">
        <v>329</v>
      </c>
      <c r="B331" s="5" t="str">
        <f>"周锐"</f>
        <v>周锐</v>
      </c>
      <c r="C331" s="5" t="str">
        <f>"7073202410131245123376"</f>
        <v>7073202410131245123376</v>
      </c>
      <c r="D331" s="5" t="str">
        <f t="shared" si="7"/>
        <v>E2024078</v>
      </c>
      <c r="E331" s="5" t="s">
        <v>13</v>
      </c>
      <c r="F331" s="5" t="s">
        <v>14</v>
      </c>
      <c r="G331" s="5"/>
    </row>
    <row r="332" s="1" customFormat="1" ht="18" customHeight="1" spans="1:7">
      <c r="A332" s="5">
        <v>330</v>
      </c>
      <c r="B332" s="5" t="str">
        <f>"杜选锐"</f>
        <v>杜选锐</v>
      </c>
      <c r="C332" s="5" t="str">
        <f>"7073202410131521503520"</f>
        <v>7073202410131521503520</v>
      </c>
      <c r="D332" s="5" t="str">
        <f t="shared" si="7"/>
        <v>E2024078</v>
      </c>
      <c r="E332" s="5" t="s">
        <v>13</v>
      </c>
      <c r="F332" s="5" t="s">
        <v>14</v>
      </c>
      <c r="G332" s="5"/>
    </row>
    <row r="333" s="1" customFormat="1" ht="18" customHeight="1" spans="1:7">
      <c r="A333" s="5">
        <v>331</v>
      </c>
      <c r="B333" s="5" t="str">
        <f>"尹乐"</f>
        <v>尹乐</v>
      </c>
      <c r="C333" s="5" t="str">
        <f>"7073202410131639223588"</f>
        <v>7073202410131639223588</v>
      </c>
      <c r="D333" s="5" t="str">
        <f t="shared" si="7"/>
        <v>E2024078</v>
      </c>
      <c r="E333" s="5" t="s">
        <v>13</v>
      </c>
      <c r="F333" s="5" t="s">
        <v>14</v>
      </c>
      <c r="G333" s="5"/>
    </row>
    <row r="334" s="1" customFormat="1" ht="18" customHeight="1" spans="1:7">
      <c r="A334" s="5">
        <v>332</v>
      </c>
      <c r="B334" s="5" t="str">
        <f>"龙熙泽"</f>
        <v>龙熙泽</v>
      </c>
      <c r="C334" s="5" t="str">
        <f>"7073202410131841283687"</f>
        <v>7073202410131841283687</v>
      </c>
      <c r="D334" s="5" t="str">
        <f t="shared" si="7"/>
        <v>E2024078</v>
      </c>
      <c r="E334" s="5" t="s">
        <v>13</v>
      </c>
      <c r="F334" s="5" t="s">
        <v>14</v>
      </c>
      <c r="G334" s="5"/>
    </row>
    <row r="335" s="1" customFormat="1" ht="18" customHeight="1" spans="1:7">
      <c r="A335" s="5">
        <v>333</v>
      </c>
      <c r="B335" s="5" t="str">
        <f>"王俊"</f>
        <v>王俊</v>
      </c>
      <c r="C335" s="5" t="str">
        <f>"7073202410132012403776"</f>
        <v>7073202410132012403776</v>
      </c>
      <c r="D335" s="5" t="str">
        <f t="shared" si="7"/>
        <v>E2024078</v>
      </c>
      <c r="E335" s="5" t="s">
        <v>13</v>
      </c>
      <c r="F335" s="5" t="s">
        <v>14</v>
      </c>
      <c r="G335" s="5"/>
    </row>
    <row r="336" s="1" customFormat="1" ht="18" customHeight="1" spans="1:7">
      <c r="A336" s="5">
        <v>334</v>
      </c>
      <c r="B336" s="5" t="str">
        <f>"程烁杨"</f>
        <v>程烁杨</v>
      </c>
      <c r="C336" s="5" t="str">
        <f>"7073202410132204573872"</f>
        <v>7073202410132204573872</v>
      </c>
      <c r="D336" s="5" t="str">
        <f t="shared" si="7"/>
        <v>E2024078</v>
      </c>
      <c r="E336" s="5" t="s">
        <v>13</v>
      </c>
      <c r="F336" s="5" t="s">
        <v>14</v>
      </c>
      <c r="G336" s="5"/>
    </row>
    <row r="337" s="1" customFormat="1" ht="18" customHeight="1" spans="1:7">
      <c r="A337" s="5">
        <v>335</v>
      </c>
      <c r="B337" s="5" t="str">
        <f>"李顺阳"</f>
        <v>李顺阳</v>
      </c>
      <c r="C337" s="5" t="str">
        <f>"7073202410132327573918"</f>
        <v>7073202410132327573918</v>
      </c>
      <c r="D337" s="5" t="str">
        <f t="shared" si="7"/>
        <v>E2024078</v>
      </c>
      <c r="E337" s="5" t="s">
        <v>13</v>
      </c>
      <c r="F337" s="5" t="s">
        <v>14</v>
      </c>
      <c r="G337" s="5"/>
    </row>
    <row r="338" s="1" customFormat="1" ht="18" customHeight="1" spans="1:7">
      <c r="A338" s="5">
        <v>336</v>
      </c>
      <c r="B338" s="5" t="str">
        <f>"刘锐"</f>
        <v>刘锐</v>
      </c>
      <c r="C338" s="5" t="str">
        <f>"7073202410132340353922"</f>
        <v>7073202410132340353922</v>
      </c>
      <c r="D338" s="5" t="str">
        <f t="shared" si="7"/>
        <v>E2024078</v>
      </c>
      <c r="E338" s="5" t="s">
        <v>13</v>
      </c>
      <c r="F338" s="5" t="s">
        <v>14</v>
      </c>
      <c r="G338" s="5"/>
    </row>
    <row r="339" s="1" customFormat="1" ht="18" customHeight="1" spans="1:7">
      <c r="A339" s="5">
        <v>337</v>
      </c>
      <c r="B339" s="5" t="str">
        <f>"覃维"</f>
        <v>覃维</v>
      </c>
      <c r="C339" s="5" t="str">
        <f>"7073202410132340433923"</f>
        <v>7073202410132340433923</v>
      </c>
      <c r="D339" s="5" t="str">
        <f t="shared" si="7"/>
        <v>E2024078</v>
      </c>
      <c r="E339" s="5" t="s">
        <v>13</v>
      </c>
      <c r="F339" s="5" t="s">
        <v>14</v>
      </c>
      <c r="G339" s="5"/>
    </row>
    <row r="340" s="1" customFormat="1" ht="18" customHeight="1" spans="1:7">
      <c r="A340" s="5">
        <v>338</v>
      </c>
      <c r="B340" s="5" t="str">
        <f>"何震林"</f>
        <v>何震林</v>
      </c>
      <c r="C340" s="5" t="str">
        <f>"7073202410121504272466"</f>
        <v>7073202410121504272466</v>
      </c>
      <c r="D340" s="5" t="str">
        <f t="shared" si="7"/>
        <v>E2024078</v>
      </c>
      <c r="E340" s="5" t="s">
        <v>13</v>
      </c>
      <c r="F340" s="5" t="s">
        <v>14</v>
      </c>
      <c r="G340" s="5"/>
    </row>
    <row r="341" s="1" customFormat="1" ht="18" customHeight="1" spans="1:7">
      <c r="A341" s="5">
        <v>339</v>
      </c>
      <c r="B341" s="5" t="str">
        <f>"李登"</f>
        <v>李登</v>
      </c>
      <c r="C341" s="5" t="str">
        <f>"7073202410140952494352"</f>
        <v>7073202410140952494352</v>
      </c>
      <c r="D341" s="5" t="str">
        <f t="shared" si="7"/>
        <v>E2024078</v>
      </c>
      <c r="E341" s="5" t="s">
        <v>13</v>
      </c>
      <c r="F341" s="5" t="s">
        <v>14</v>
      </c>
      <c r="G341" s="5"/>
    </row>
    <row r="342" s="1" customFormat="1" ht="18" customHeight="1" spans="1:7">
      <c r="A342" s="5">
        <v>340</v>
      </c>
      <c r="B342" s="5" t="str">
        <f>"袁孟瑶"</f>
        <v>袁孟瑶</v>
      </c>
      <c r="C342" s="5" t="str">
        <f>"7073202410141001504395"</f>
        <v>7073202410141001504395</v>
      </c>
      <c r="D342" s="5" t="str">
        <f t="shared" si="7"/>
        <v>E2024078</v>
      </c>
      <c r="E342" s="5" t="s">
        <v>13</v>
      </c>
      <c r="F342" s="5" t="s">
        <v>14</v>
      </c>
      <c r="G342" s="5"/>
    </row>
    <row r="343" s="1" customFormat="1" ht="18" customHeight="1" spans="1:7">
      <c r="A343" s="5">
        <v>341</v>
      </c>
      <c r="B343" s="5" t="str">
        <f>"郭子豪"</f>
        <v>郭子豪</v>
      </c>
      <c r="C343" s="5" t="str">
        <f>"7073202410141054534681"</f>
        <v>7073202410141054534681</v>
      </c>
      <c r="D343" s="5" t="str">
        <f t="shared" si="7"/>
        <v>E2024078</v>
      </c>
      <c r="E343" s="5" t="s">
        <v>13</v>
      </c>
      <c r="F343" s="5" t="s">
        <v>14</v>
      </c>
      <c r="G343" s="5"/>
    </row>
    <row r="344" s="1" customFormat="1" ht="18" customHeight="1" spans="1:7">
      <c r="A344" s="5">
        <v>342</v>
      </c>
      <c r="B344" s="5" t="str">
        <f>"陈灼"</f>
        <v>陈灼</v>
      </c>
      <c r="C344" s="5" t="str">
        <f>"7073202410141206194920"</f>
        <v>7073202410141206194920</v>
      </c>
      <c r="D344" s="5" t="str">
        <f t="shared" si="7"/>
        <v>E2024078</v>
      </c>
      <c r="E344" s="5" t="s">
        <v>13</v>
      </c>
      <c r="F344" s="5" t="s">
        <v>14</v>
      </c>
      <c r="G344" s="5"/>
    </row>
    <row r="345" s="1" customFormat="1" ht="18" customHeight="1" spans="1:7">
      <c r="A345" s="5">
        <v>343</v>
      </c>
      <c r="B345" s="5" t="str">
        <f>"向帅"</f>
        <v>向帅</v>
      </c>
      <c r="C345" s="5" t="str">
        <f>"7073202410141411145195"</f>
        <v>7073202410141411145195</v>
      </c>
      <c r="D345" s="5" t="str">
        <f t="shared" si="7"/>
        <v>E2024078</v>
      </c>
      <c r="E345" s="5" t="s">
        <v>13</v>
      </c>
      <c r="F345" s="5" t="s">
        <v>14</v>
      </c>
      <c r="G345" s="5"/>
    </row>
    <row r="346" s="1" customFormat="1" ht="18" customHeight="1" spans="1:7">
      <c r="A346" s="5">
        <v>344</v>
      </c>
      <c r="B346" s="5" t="str">
        <f>"车思喆"</f>
        <v>车思喆</v>
      </c>
      <c r="C346" s="5" t="str">
        <f>"7073202410121131152032"</f>
        <v>7073202410121131152032</v>
      </c>
      <c r="D346" s="5" t="str">
        <f t="shared" si="7"/>
        <v>E2024078</v>
      </c>
      <c r="E346" s="5" t="s">
        <v>13</v>
      </c>
      <c r="F346" s="5" t="s">
        <v>14</v>
      </c>
      <c r="G346" s="5"/>
    </row>
    <row r="347" s="1" customFormat="1" ht="18" customHeight="1" spans="1:7">
      <c r="A347" s="5">
        <v>345</v>
      </c>
      <c r="B347" s="5" t="str">
        <f>"覃道俊"</f>
        <v>覃道俊</v>
      </c>
      <c r="C347" s="5" t="str">
        <f>"7073202410141508415352"</f>
        <v>7073202410141508415352</v>
      </c>
      <c r="D347" s="5" t="str">
        <f t="shared" si="7"/>
        <v>E2024078</v>
      </c>
      <c r="E347" s="5" t="s">
        <v>13</v>
      </c>
      <c r="F347" s="5" t="s">
        <v>14</v>
      </c>
      <c r="G347" s="5"/>
    </row>
    <row r="348" s="1" customFormat="1" ht="18" customHeight="1" spans="1:7">
      <c r="A348" s="5">
        <v>346</v>
      </c>
      <c r="B348" s="5" t="str">
        <f>"王泽洲"</f>
        <v>王泽洲</v>
      </c>
      <c r="C348" s="5" t="str">
        <f>"7073202410141558585520"</f>
        <v>7073202410141558585520</v>
      </c>
      <c r="D348" s="5" t="str">
        <f t="shared" si="7"/>
        <v>E2024078</v>
      </c>
      <c r="E348" s="5" t="s">
        <v>13</v>
      </c>
      <c r="F348" s="5" t="s">
        <v>14</v>
      </c>
      <c r="G348" s="5"/>
    </row>
    <row r="349" s="1" customFormat="1" ht="18" customHeight="1" spans="1:7">
      <c r="A349" s="5">
        <v>347</v>
      </c>
      <c r="B349" s="5" t="str">
        <f>"姚珺宇"</f>
        <v>姚珺宇</v>
      </c>
      <c r="C349" s="5" t="str">
        <f>"7073202410141546255478"</f>
        <v>7073202410141546255478</v>
      </c>
      <c r="D349" s="5" t="str">
        <f t="shared" si="7"/>
        <v>E2024078</v>
      </c>
      <c r="E349" s="5" t="s">
        <v>13</v>
      </c>
      <c r="F349" s="5" t="s">
        <v>14</v>
      </c>
      <c r="G349" s="5"/>
    </row>
    <row r="350" s="1" customFormat="1" ht="18" customHeight="1" spans="1:7">
      <c r="A350" s="5">
        <v>348</v>
      </c>
      <c r="B350" s="5" t="str">
        <f>"王谦"</f>
        <v>王谦</v>
      </c>
      <c r="C350" s="5" t="str">
        <f>"7073202410141654395680"</f>
        <v>7073202410141654395680</v>
      </c>
      <c r="D350" s="5" t="str">
        <f t="shared" si="7"/>
        <v>E2024078</v>
      </c>
      <c r="E350" s="5" t="s">
        <v>13</v>
      </c>
      <c r="F350" s="5" t="s">
        <v>14</v>
      </c>
      <c r="G350" s="5"/>
    </row>
    <row r="351" s="1" customFormat="1" ht="18" customHeight="1" spans="1:7">
      <c r="A351" s="5">
        <v>349</v>
      </c>
      <c r="B351" s="5" t="str">
        <f>"龙海南"</f>
        <v>龙海南</v>
      </c>
      <c r="C351" s="5" t="str">
        <f>"7073202410132101003814"</f>
        <v>7073202410132101003814</v>
      </c>
      <c r="D351" s="5" t="str">
        <f t="shared" si="7"/>
        <v>E2024078</v>
      </c>
      <c r="E351" s="5" t="s">
        <v>13</v>
      </c>
      <c r="F351" s="5" t="s">
        <v>14</v>
      </c>
      <c r="G351" s="5"/>
    </row>
    <row r="352" s="1" customFormat="1" ht="18" customHeight="1" spans="1:7">
      <c r="A352" s="5">
        <v>350</v>
      </c>
      <c r="B352" s="5" t="str">
        <f>"吴俊"</f>
        <v>吴俊</v>
      </c>
      <c r="C352" s="5" t="str">
        <f>"7073202410142008196045"</f>
        <v>7073202410142008196045</v>
      </c>
      <c r="D352" s="5" t="str">
        <f t="shared" si="7"/>
        <v>E2024078</v>
      </c>
      <c r="E352" s="5" t="s">
        <v>13</v>
      </c>
      <c r="F352" s="5" t="s">
        <v>14</v>
      </c>
      <c r="G352" s="5"/>
    </row>
    <row r="353" s="1" customFormat="1" ht="18" customHeight="1" spans="1:7">
      <c r="A353" s="5">
        <v>351</v>
      </c>
      <c r="B353" s="5" t="str">
        <f>"姜杰"</f>
        <v>姜杰</v>
      </c>
      <c r="C353" s="5" t="str">
        <f>"7073202410142018266061"</f>
        <v>7073202410142018266061</v>
      </c>
      <c r="D353" s="5" t="str">
        <f t="shared" si="7"/>
        <v>E2024078</v>
      </c>
      <c r="E353" s="5" t="s">
        <v>13</v>
      </c>
      <c r="F353" s="5" t="s">
        <v>14</v>
      </c>
      <c r="G353" s="5"/>
    </row>
    <row r="354" s="1" customFormat="1" ht="18" customHeight="1" spans="1:7">
      <c r="A354" s="5">
        <v>352</v>
      </c>
      <c r="B354" s="5" t="str">
        <f>"周家兴"</f>
        <v>周家兴</v>
      </c>
      <c r="C354" s="5" t="str">
        <f>"7073202410142123026188"</f>
        <v>7073202410142123026188</v>
      </c>
      <c r="D354" s="5" t="str">
        <f t="shared" si="7"/>
        <v>E2024078</v>
      </c>
      <c r="E354" s="5" t="s">
        <v>13</v>
      </c>
      <c r="F354" s="5" t="s">
        <v>14</v>
      </c>
      <c r="G354" s="5"/>
    </row>
    <row r="355" s="1" customFormat="1" ht="18" customHeight="1" spans="1:7">
      <c r="A355" s="5">
        <v>353</v>
      </c>
      <c r="B355" s="5" t="str">
        <f>"黄月"</f>
        <v>黄月</v>
      </c>
      <c r="C355" s="5" t="str">
        <f>"7073202410142305506333"</f>
        <v>7073202410142305506333</v>
      </c>
      <c r="D355" s="5" t="str">
        <f t="shared" si="7"/>
        <v>E2024078</v>
      </c>
      <c r="E355" s="5" t="s">
        <v>13</v>
      </c>
      <c r="F355" s="5" t="s">
        <v>14</v>
      </c>
      <c r="G355" s="5"/>
    </row>
    <row r="356" s="1" customFormat="1" ht="18" customHeight="1" spans="1:7">
      <c r="A356" s="5">
        <v>354</v>
      </c>
      <c r="B356" s="5" t="str">
        <f>"谢邵黎"</f>
        <v>谢邵黎</v>
      </c>
      <c r="C356" s="5" t="str">
        <f>"7073202410140649493942"</f>
        <v>7073202410140649493942</v>
      </c>
      <c r="D356" s="5" t="str">
        <f t="shared" si="7"/>
        <v>E2024078</v>
      </c>
      <c r="E356" s="5" t="s">
        <v>13</v>
      </c>
      <c r="F356" s="5" t="s">
        <v>14</v>
      </c>
      <c r="G356" s="5"/>
    </row>
    <row r="357" s="1" customFormat="1" ht="18" customHeight="1" spans="1:7">
      <c r="A357" s="5">
        <v>355</v>
      </c>
      <c r="B357" s="5" t="str">
        <f>"李一夫"</f>
        <v>李一夫</v>
      </c>
      <c r="C357" s="5" t="str">
        <f>"7073202410151142097636"</f>
        <v>7073202410151142097636</v>
      </c>
      <c r="D357" s="5" t="str">
        <f t="shared" si="7"/>
        <v>E2024078</v>
      </c>
      <c r="E357" s="5" t="s">
        <v>13</v>
      </c>
      <c r="F357" s="5" t="s">
        <v>14</v>
      </c>
      <c r="G357" s="5"/>
    </row>
    <row r="358" s="1" customFormat="1" ht="18" customHeight="1" spans="1:7">
      <c r="A358" s="5">
        <v>356</v>
      </c>
      <c r="B358" s="5" t="str">
        <f>"田晨"</f>
        <v>田晨</v>
      </c>
      <c r="C358" s="5" t="str">
        <f>"7073202410151134267596"</f>
        <v>7073202410151134267596</v>
      </c>
      <c r="D358" s="5" t="str">
        <f t="shared" si="7"/>
        <v>E2024078</v>
      </c>
      <c r="E358" s="5" t="s">
        <v>13</v>
      </c>
      <c r="F358" s="5" t="s">
        <v>14</v>
      </c>
      <c r="G358" s="5"/>
    </row>
    <row r="359" s="1" customFormat="1" ht="18" customHeight="1" spans="1:7">
      <c r="A359" s="5">
        <v>357</v>
      </c>
      <c r="B359" s="5" t="str">
        <f>"张廷"</f>
        <v>张廷</v>
      </c>
      <c r="C359" s="5" t="str">
        <f>"7073202410151221167788"</f>
        <v>7073202410151221167788</v>
      </c>
      <c r="D359" s="5" t="str">
        <f t="shared" si="7"/>
        <v>E2024078</v>
      </c>
      <c r="E359" s="5" t="s">
        <v>13</v>
      </c>
      <c r="F359" s="5" t="s">
        <v>14</v>
      </c>
      <c r="G359" s="5"/>
    </row>
    <row r="360" s="1" customFormat="1" ht="18" customHeight="1" spans="1:7">
      <c r="A360" s="5">
        <v>358</v>
      </c>
      <c r="B360" s="5" t="str">
        <f>"李武雷"</f>
        <v>李武雷</v>
      </c>
      <c r="C360" s="5" t="str">
        <f>"7073202410151350298095"</f>
        <v>7073202410151350298095</v>
      </c>
      <c r="D360" s="5" t="str">
        <f t="shared" si="7"/>
        <v>E2024078</v>
      </c>
      <c r="E360" s="5" t="s">
        <v>13</v>
      </c>
      <c r="F360" s="5" t="s">
        <v>14</v>
      </c>
      <c r="G360" s="5"/>
    </row>
    <row r="361" s="1" customFormat="1" ht="18" customHeight="1" spans="1:7">
      <c r="A361" s="5">
        <v>359</v>
      </c>
      <c r="B361" s="5" t="str">
        <f>"姚君迪"</f>
        <v>姚君迪</v>
      </c>
      <c r="C361" s="5" t="str">
        <f>"7073202410151731489001"</f>
        <v>7073202410151731489001</v>
      </c>
      <c r="D361" s="5" t="str">
        <f t="shared" si="7"/>
        <v>E2024078</v>
      </c>
      <c r="E361" s="5" t="s">
        <v>13</v>
      </c>
      <c r="F361" s="5" t="s">
        <v>14</v>
      </c>
      <c r="G361" s="5"/>
    </row>
    <row r="362" s="1" customFormat="1" ht="18" customHeight="1" spans="1:7">
      <c r="A362" s="5">
        <v>360</v>
      </c>
      <c r="B362" s="5" t="str">
        <f>"龚芏铨"</f>
        <v>龚芏铨</v>
      </c>
      <c r="C362" s="5" t="str">
        <f>"7073202410151706068920"</f>
        <v>7073202410151706068920</v>
      </c>
      <c r="D362" s="5" t="str">
        <f t="shared" si="7"/>
        <v>E2024078</v>
      </c>
      <c r="E362" s="5" t="s">
        <v>13</v>
      </c>
      <c r="F362" s="5" t="s">
        <v>14</v>
      </c>
      <c r="G362" s="5"/>
    </row>
    <row r="363" s="1" customFormat="1" ht="18" customHeight="1" spans="1:7">
      <c r="A363" s="5">
        <v>361</v>
      </c>
      <c r="B363" s="5" t="str">
        <f>"黄云飞"</f>
        <v>黄云飞</v>
      </c>
      <c r="C363" s="5" t="str">
        <f>"7073202410151739239019"</f>
        <v>7073202410151739239019</v>
      </c>
      <c r="D363" s="5" t="str">
        <f t="shared" si="7"/>
        <v>E2024078</v>
      </c>
      <c r="E363" s="5" t="s">
        <v>13</v>
      </c>
      <c r="F363" s="5" t="s">
        <v>14</v>
      </c>
      <c r="G363" s="5"/>
    </row>
    <row r="364" s="1" customFormat="1" ht="18" customHeight="1" spans="1:7">
      <c r="A364" s="5">
        <v>362</v>
      </c>
      <c r="B364" s="5" t="str">
        <f>"李倡"</f>
        <v>李倡</v>
      </c>
      <c r="C364" s="5" t="str">
        <f>"70732024101522542710369"</f>
        <v>70732024101522542710369</v>
      </c>
      <c r="D364" s="5" t="str">
        <f t="shared" si="7"/>
        <v>E2024078</v>
      </c>
      <c r="E364" s="5" t="s">
        <v>13</v>
      </c>
      <c r="F364" s="5" t="s">
        <v>14</v>
      </c>
      <c r="G364" s="5"/>
    </row>
    <row r="365" s="1" customFormat="1" ht="18" customHeight="1" spans="1:7">
      <c r="A365" s="5">
        <v>363</v>
      </c>
      <c r="B365" s="5" t="str">
        <f>"吴淇"</f>
        <v>吴淇</v>
      </c>
      <c r="C365" s="5" t="str">
        <f>"70732024101610121011253"</f>
        <v>70732024101610121011253</v>
      </c>
      <c r="D365" s="5" t="str">
        <f t="shared" si="7"/>
        <v>E2024078</v>
      </c>
      <c r="E365" s="5" t="s">
        <v>13</v>
      </c>
      <c r="F365" s="5" t="s">
        <v>14</v>
      </c>
      <c r="G365" s="5"/>
    </row>
    <row r="366" s="1" customFormat="1" ht="18" customHeight="1" spans="1:7">
      <c r="A366" s="5">
        <v>364</v>
      </c>
      <c r="B366" s="5" t="str">
        <f>"唐艺华"</f>
        <v>唐艺华</v>
      </c>
      <c r="C366" s="5" t="str">
        <f>"70732024101611031111588"</f>
        <v>70732024101611031111588</v>
      </c>
      <c r="D366" s="5" t="str">
        <f t="shared" si="7"/>
        <v>E2024078</v>
      </c>
      <c r="E366" s="5" t="s">
        <v>13</v>
      </c>
      <c r="F366" s="5" t="s">
        <v>14</v>
      </c>
      <c r="G366" s="5"/>
    </row>
    <row r="367" s="1" customFormat="1" ht="18" customHeight="1" spans="1:7">
      <c r="A367" s="5">
        <v>365</v>
      </c>
      <c r="B367" s="5" t="str">
        <f>"李文博"</f>
        <v>李文博</v>
      </c>
      <c r="C367" s="5" t="str">
        <f>"70732024101616495813186"</f>
        <v>70732024101616495813186</v>
      </c>
      <c r="D367" s="5" t="str">
        <f t="shared" si="7"/>
        <v>E2024078</v>
      </c>
      <c r="E367" s="5" t="s">
        <v>13</v>
      </c>
      <c r="F367" s="5" t="s">
        <v>14</v>
      </c>
      <c r="G367" s="5"/>
    </row>
    <row r="368" s="1" customFormat="1" ht="18" customHeight="1" spans="1:7">
      <c r="A368" s="5">
        <v>366</v>
      </c>
      <c r="B368" s="5" t="str">
        <f>"黄家文"</f>
        <v>黄家文</v>
      </c>
      <c r="C368" s="5" t="str">
        <f>"70732024101617093913278"</f>
        <v>70732024101617093913278</v>
      </c>
      <c r="D368" s="5" t="str">
        <f t="shared" si="7"/>
        <v>E2024078</v>
      </c>
      <c r="E368" s="5" t="s">
        <v>13</v>
      </c>
      <c r="F368" s="5" t="s">
        <v>14</v>
      </c>
      <c r="G368" s="5"/>
    </row>
    <row r="369" s="1" customFormat="1" ht="18" customHeight="1" spans="1:7">
      <c r="A369" s="5">
        <v>367</v>
      </c>
      <c r="B369" s="5" t="str">
        <f>"冉瑞鹏"</f>
        <v>冉瑞鹏</v>
      </c>
      <c r="C369" s="5" t="str">
        <f>"70732024101618382413602"</f>
        <v>70732024101618382413602</v>
      </c>
      <c r="D369" s="5" t="str">
        <f t="shared" si="7"/>
        <v>E2024078</v>
      </c>
      <c r="E369" s="5" t="s">
        <v>13</v>
      </c>
      <c r="F369" s="5" t="s">
        <v>14</v>
      </c>
      <c r="G369" s="5"/>
    </row>
    <row r="370" s="1" customFormat="1" ht="18" customHeight="1" spans="1:7">
      <c r="A370" s="5">
        <v>368</v>
      </c>
      <c r="B370" s="5" t="str">
        <f>"向俊儒"</f>
        <v>向俊儒</v>
      </c>
      <c r="C370" s="5" t="str">
        <f>"70732024101622581415180"</f>
        <v>70732024101622581415180</v>
      </c>
      <c r="D370" s="5" t="str">
        <f t="shared" si="7"/>
        <v>E2024078</v>
      </c>
      <c r="E370" s="5" t="s">
        <v>13</v>
      </c>
      <c r="F370" s="5" t="s">
        <v>14</v>
      </c>
      <c r="G370" s="5"/>
    </row>
    <row r="371" s="1" customFormat="1" ht="18" customHeight="1" spans="1:7">
      <c r="A371" s="5">
        <v>369</v>
      </c>
      <c r="B371" s="5" t="str">
        <f>"冉龙权"</f>
        <v>冉龙权</v>
      </c>
      <c r="C371" s="5" t="str">
        <f>"70732024101623194815248"</f>
        <v>70732024101623194815248</v>
      </c>
      <c r="D371" s="5" t="str">
        <f t="shared" si="7"/>
        <v>E2024078</v>
      </c>
      <c r="E371" s="5" t="s">
        <v>13</v>
      </c>
      <c r="F371" s="5" t="s">
        <v>14</v>
      </c>
      <c r="G371" s="5"/>
    </row>
    <row r="372" s="1" customFormat="1" ht="18" customHeight="1" spans="1:7">
      <c r="A372" s="5">
        <v>370</v>
      </c>
      <c r="B372" s="5" t="str">
        <f>"何良峰"</f>
        <v>何良峰</v>
      </c>
      <c r="C372" s="5" t="str">
        <f>"70732024101623254815261"</f>
        <v>70732024101623254815261</v>
      </c>
      <c r="D372" s="5" t="str">
        <f t="shared" si="7"/>
        <v>E2024078</v>
      </c>
      <c r="E372" s="5" t="s">
        <v>13</v>
      </c>
      <c r="F372" s="5" t="s">
        <v>14</v>
      </c>
      <c r="G372" s="5"/>
    </row>
    <row r="373" s="1" customFormat="1" ht="18" customHeight="1" spans="1:7">
      <c r="A373" s="5">
        <v>371</v>
      </c>
      <c r="B373" s="5" t="str">
        <f>"李威"</f>
        <v>李威</v>
      </c>
      <c r="C373" s="5" t="str">
        <f>"70732024101709512116027"</f>
        <v>70732024101709512116027</v>
      </c>
      <c r="D373" s="5" t="str">
        <f t="shared" si="7"/>
        <v>E2024078</v>
      </c>
      <c r="E373" s="5" t="s">
        <v>13</v>
      </c>
      <c r="F373" s="5" t="s">
        <v>14</v>
      </c>
      <c r="G373" s="5"/>
    </row>
    <row r="374" s="1" customFormat="1" ht="18" customHeight="1" spans="1:7">
      <c r="A374" s="5">
        <v>372</v>
      </c>
      <c r="B374" s="5" t="str">
        <f>"郑策友"</f>
        <v>郑策友</v>
      </c>
      <c r="C374" s="5" t="str">
        <f>"70732024101621220214759"</f>
        <v>70732024101621220214759</v>
      </c>
      <c r="D374" s="5" t="str">
        <f t="shared" si="7"/>
        <v>E2024078</v>
      </c>
      <c r="E374" s="5" t="s">
        <v>13</v>
      </c>
      <c r="F374" s="5" t="s">
        <v>14</v>
      </c>
      <c r="G374" s="5"/>
    </row>
    <row r="375" s="1" customFormat="1" ht="18" customHeight="1" spans="1:7">
      <c r="A375" s="5">
        <v>373</v>
      </c>
      <c r="B375" s="5" t="str">
        <f>"牟泽司"</f>
        <v>牟泽司</v>
      </c>
      <c r="C375" s="5" t="str">
        <f>"70732024101710252016335"</f>
        <v>70732024101710252016335</v>
      </c>
      <c r="D375" s="5" t="str">
        <f t="shared" si="7"/>
        <v>E2024078</v>
      </c>
      <c r="E375" s="5" t="s">
        <v>13</v>
      </c>
      <c r="F375" s="5" t="s">
        <v>14</v>
      </c>
      <c r="G375" s="5"/>
    </row>
    <row r="376" s="1" customFormat="1" ht="18" customHeight="1" spans="1:7">
      <c r="A376" s="5">
        <v>374</v>
      </c>
      <c r="B376" s="5" t="str">
        <f>"朱侠"</f>
        <v>朱侠</v>
      </c>
      <c r="C376" s="5" t="str">
        <f>"70732024101622502115145"</f>
        <v>70732024101622502115145</v>
      </c>
      <c r="D376" s="5" t="str">
        <f t="shared" si="7"/>
        <v>E2024078</v>
      </c>
      <c r="E376" s="5" t="s">
        <v>13</v>
      </c>
      <c r="F376" s="5" t="s">
        <v>14</v>
      </c>
      <c r="G376" s="5"/>
    </row>
    <row r="377" s="1" customFormat="1" ht="18" customHeight="1" spans="1:7">
      <c r="A377" s="5">
        <v>375</v>
      </c>
      <c r="B377" s="5" t="str">
        <f>"谭宇琪"</f>
        <v>谭宇琪</v>
      </c>
      <c r="C377" s="5" t="str">
        <f>"70732024101714034917871"</f>
        <v>70732024101714034917871</v>
      </c>
      <c r="D377" s="5" t="str">
        <f t="shared" si="7"/>
        <v>E2024078</v>
      </c>
      <c r="E377" s="5" t="s">
        <v>13</v>
      </c>
      <c r="F377" s="5" t="s">
        <v>14</v>
      </c>
      <c r="G377" s="5"/>
    </row>
    <row r="378" s="1" customFormat="1" ht="18" customHeight="1" spans="1:7">
      <c r="A378" s="5">
        <v>376</v>
      </c>
      <c r="B378" s="5" t="str">
        <f>"袁玉滔"</f>
        <v>袁玉滔</v>
      </c>
      <c r="C378" s="5" t="str">
        <f>"70732024101715334618548"</f>
        <v>70732024101715334618548</v>
      </c>
      <c r="D378" s="5" t="str">
        <f t="shared" si="7"/>
        <v>E2024078</v>
      </c>
      <c r="E378" s="5" t="s">
        <v>13</v>
      </c>
      <c r="F378" s="5" t="s">
        <v>14</v>
      </c>
      <c r="G378" s="5"/>
    </row>
    <row r="379" s="1" customFormat="1" ht="18" customHeight="1" spans="1:7">
      <c r="A379" s="5">
        <v>377</v>
      </c>
      <c r="B379" s="5" t="str">
        <f>"向旭东"</f>
        <v>向旭东</v>
      </c>
      <c r="C379" s="5" t="str">
        <f>"70732024101716272518985"</f>
        <v>70732024101716272518985</v>
      </c>
      <c r="D379" s="5" t="str">
        <f t="shared" ref="D379:D432" si="8">"E2024078"</f>
        <v>E2024078</v>
      </c>
      <c r="E379" s="5" t="s">
        <v>13</v>
      </c>
      <c r="F379" s="5" t="s">
        <v>14</v>
      </c>
      <c r="G379" s="5"/>
    </row>
    <row r="380" s="1" customFormat="1" ht="18" customHeight="1" spans="1:7">
      <c r="A380" s="5">
        <v>378</v>
      </c>
      <c r="B380" s="5" t="str">
        <f>"张健"</f>
        <v>张健</v>
      </c>
      <c r="C380" s="5" t="str">
        <f>"70732024101719004619965"</f>
        <v>70732024101719004619965</v>
      </c>
      <c r="D380" s="5" t="str">
        <f t="shared" si="8"/>
        <v>E2024078</v>
      </c>
      <c r="E380" s="5" t="s">
        <v>13</v>
      </c>
      <c r="F380" s="5" t="s">
        <v>14</v>
      </c>
      <c r="G380" s="5"/>
    </row>
    <row r="381" s="1" customFormat="1" ht="18" customHeight="1" spans="1:7">
      <c r="A381" s="5">
        <v>379</v>
      </c>
      <c r="B381" s="5" t="str">
        <f>"朱述伟"</f>
        <v>朱述伟</v>
      </c>
      <c r="C381" s="5" t="str">
        <f>"70732024101719152420064"</f>
        <v>70732024101719152420064</v>
      </c>
      <c r="D381" s="5" t="str">
        <f t="shared" si="8"/>
        <v>E2024078</v>
      </c>
      <c r="E381" s="5" t="s">
        <v>13</v>
      </c>
      <c r="F381" s="5" t="s">
        <v>14</v>
      </c>
      <c r="G381" s="5"/>
    </row>
    <row r="382" s="1" customFormat="1" ht="18" customHeight="1" spans="1:7">
      <c r="A382" s="5">
        <v>380</v>
      </c>
      <c r="B382" s="5" t="str">
        <f>"喻埝"</f>
        <v>喻埝</v>
      </c>
      <c r="C382" s="5" t="str">
        <f>"70732024101719141220058"</f>
        <v>70732024101719141220058</v>
      </c>
      <c r="D382" s="5" t="str">
        <f t="shared" si="8"/>
        <v>E2024078</v>
      </c>
      <c r="E382" s="5" t="s">
        <v>13</v>
      </c>
      <c r="F382" s="5" t="s">
        <v>14</v>
      </c>
      <c r="G382" s="5"/>
    </row>
    <row r="383" s="1" customFormat="1" ht="18" customHeight="1" spans="1:7">
      <c r="A383" s="5">
        <v>381</v>
      </c>
      <c r="B383" s="5" t="str">
        <f>"陈露"</f>
        <v>陈露</v>
      </c>
      <c r="C383" s="5" t="str">
        <f>"70732024101722013021186"</f>
        <v>70732024101722013021186</v>
      </c>
      <c r="D383" s="5" t="str">
        <f t="shared" si="8"/>
        <v>E2024078</v>
      </c>
      <c r="E383" s="5" t="s">
        <v>13</v>
      </c>
      <c r="F383" s="5" t="s">
        <v>14</v>
      </c>
      <c r="G383" s="5"/>
    </row>
    <row r="384" s="1" customFormat="1" ht="18" customHeight="1" spans="1:7">
      <c r="A384" s="5">
        <v>382</v>
      </c>
      <c r="B384" s="5" t="str">
        <f>"黄庭语"</f>
        <v>黄庭语</v>
      </c>
      <c r="C384" s="5" t="str">
        <f>"70732024101722562821446"</f>
        <v>70732024101722562821446</v>
      </c>
      <c r="D384" s="5" t="str">
        <f t="shared" si="8"/>
        <v>E2024078</v>
      </c>
      <c r="E384" s="5" t="s">
        <v>13</v>
      </c>
      <c r="F384" s="5" t="s">
        <v>14</v>
      </c>
      <c r="G384" s="5"/>
    </row>
    <row r="385" s="1" customFormat="1" ht="18" customHeight="1" spans="1:7">
      <c r="A385" s="5">
        <v>383</v>
      </c>
      <c r="B385" s="5" t="str">
        <f>"徐明杰"</f>
        <v>徐明杰</v>
      </c>
      <c r="C385" s="5" t="str">
        <f>"70732024101810475022985"</f>
        <v>70732024101810475022985</v>
      </c>
      <c r="D385" s="5" t="str">
        <f t="shared" si="8"/>
        <v>E2024078</v>
      </c>
      <c r="E385" s="5" t="s">
        <v>13</v>
      </c>
      <c r="F385" s="5" t="s">
        <v>14</v>
      </c>
      <c r="G385" s="5"/>
    </row>
    <row r="386" s="1" customFormat="1" ht="18" customHeight="1" spans="1:7">
      <c r="A386" s="5">
        <v>384</v>
      </c>
      <c r="B386" s="5" t="str">
        <f>"龙航"</f>
        <v>龙航</v>
      </c>
      <c r="C386" s="5" t="str">
        <f>"70732024101811422923372"</f>
        <v>70732024101811422923372</v>
      </c>
      <c r="D386" s="5" t="str">
        <f t="shared" si="8"/>
        <v>E2024078</v>
      </c>
      <c r="E386" s="5" t="s">
        <v>13</v>
      </c>
      <c r="F386" s="5" t="s">
        <v>14</v>
      </c>
      <c r="G386" s="5"/>
    </row>
    <row r="387" s="1" customFormat="1" ht="18" customHeight="1" spans="1:7">
      <c r="A387" s="5">
        <v>385</v>
      </c>
      <c r="B387" s="5" t="str">
        <f>"喻正东"</f>
        <v>喻正东</v>
      </c>
      <c r="C387" s="5" t="str">
        <f>"70732024101813514424349"</f>
        <v>70732024101813514424349</v>
      </c>
      <c r="D387" s="5" t="str">
        <f t="shared" si="8"/>
        <v>E2024078</v>
      </c>
      <c r="E387" s="5" t="s">
        <v>13</v>
      </c>
      <c r="F387" s="5" t="s">
        <v>14</v>
      </c>
      <c r="G387" s="5"/>
    </row>
    <row r="388" s="1" customFormat="1" ht="18" customHeight="1" spans="1:7">
      <c r="A388" s="5">
        <v>386</v>
      </c>
      <c r="B388" s="5" t="str">
        <f>"许金铭"</f>
        <v>许金铭</v>
      </c>
      <c r="C388" s="5" t="str">
        <f>"70732024101818153626065"</f>
        <v>70732024101818153626065</v>
      </c>
      <c r="D388" s="5" t="str">
        <f t="shared" si="8"/>
        <v>E2024078</v>
      </c>
      <c r="E388" s="5" t="s">
        <v>13</v>
      </c>
      <c r="F388" s="5" t="s">
        <v>14</v>
      </c>
      <c r="G388" s="5"/>
    </row>
    <row r="389" s="1" customFormat="1" ht="18" customHeight="1" spans="1:7">
      <c r="A389" s="5">
        <v>387</v>
      </c>
      <c r="B389" s="5" t="str">
        <f>"杨东昇华"</f>
        <v>杨东昇华</v>
      </c>
      <c r="C389" s="5" t="str">
        <f>"70732024101801115421729"</f>
        <v>70732024101801115421729</v>
      </c>
      <c r="D389" s="5" t="str">
        <f t="shared" si="8"/>
        <v>E2024078</v>
      </c>
      <c r="E389" s="5" t="s">
        <v>13</v>
      </c>
      <c r="F389" s="5" t="s">
        <v>14</v>
      </c>
      <c r="G389" s="5"/>
    </row>
    <row r="390" s="1" customFormat="1" ht="18" customHeight="1" spans="1:7">
      <c r="A390" s="5">
        <v>388</v>
      </c>
      <c r="B390" s="5" t="str">
        <f>"郑梦飞"</f>
        <v>郑梦飞</v>
      </c>
      <c r="C390" s="5" t="str">
        <f>"70732024101909252927967"</f>
        <v>70732024101909252927967</v>
      </c>
      <c r="D390" s="5" t="str">
        <f t="shared" si="8"/>
        <v>E2024078</v>
      </c>
      <c r="E390" s="5" t="s">
        <v>13</v>
      </c>
      <c r="F390" s="5" t="s">
        <v>14</v>
      </c>
      <c r="G390" s="5"/>
    </row>
    <row r="391" s="1" customFormat="1" ht="18" customHeight="1" spans="1:7">
      <c r="A391" s="5">
        <v>389</v>
      </c>
      <c r="B391" s="5" t="str">
        <f>"郭傚皲"</f>
        <v>郭傚皲</v>
      </c>
      <c r="C391" s="5" t="str">
        <f>"70732024101909450928026"</f>
        <v>70732024101909450928026</v>
      </c>
      <c r="D391" s="5" t="str">
        <f t="shared" si="8"/>
        <v>E2024078</v>
      </c>
      <c r="E391" s="5" t="s">
        <v>13</v>
      </c>
      <c r="F391" s="5" t="s">
        <v>14</v>
      </c>
      <c r="G391" s="5"/>
    </row>
    <row r="392" s="1" customFormat="1" ht="18" customHeight="1" spans="1:7">
      <c r="A392" s="5">
        <v>390</v>
      </c>
      <c r="B392" s="5" t="str">
        <f>"朱学升"</f>
        <v>朱学升</v>
      </c>
      <c r="C392" s="5" t="str">
        <f>"70732024101719485120299"</f>
        <v>70732024101719485120299</v>
      </c>
      <c r="D392" s="5" t="str">
        <f t="shared" si="8"/>
        <v>E2024078</v>
      </c>
      <c r="E392" s="5" t="s">
        <v>13</v>
      </c>
      <c r="F392" s="5" t="s">
        <v>14</v>
      </c>
      <c r="G392" s="5"/>
    </row>
    <row r="393" s="1" customFormat="1" ht="18" customHeight="1" spans="1:7">
      <c r="A393" s="5">
        <v>391</v>
      </c>
      <c r="B393" s="5" t="str">
        <f>"单佳妮"</f>
        <v>单佳妮</v>
      </c>
      <c r="C393" s="5" t="str">
        <f>"70732024101919151829707"</f>
        <v>70732024101919151829707</v>
      </c>
      <c r="D393" s="5" t="str">
        <f t="shared" si="8"/>
        <v>E2024078</v>
      </c>
      <c r="E393" s="5" t="s">
        <v>13</v>
      </c>
      <c r="F393" s="5" t="s">
        <v>14</v>
      </c>
      <c r="G393" s="5"/>
    </row>
    <row r="394" s="1" customFormat="1" ht="18" customHeight="1" spans="1:7">
      <c r="A394" s="5">
        <v>392</v>
      </c>
      <c r="B394" s="5" t="str">
        <f>"段绍涵"</f>
        <v>段绍涵</v>
      </c>
      <c r="C394" s="5" t="str">
        <f>"70732024101921473430211"</f>
        <v>70732024101921473430211</v>
      </c>
      <c r="D394" s="5" t="str">
        <f t="shared" si="8"/>
        <v>E2024078</v>
      </c>
      <c r="E394" s="5" t="s">
        <v>13</v>
      </c>
      <c r="F394" s="5" t="s">
        <v>14</v>
      </c>
      <c r="G394" s="5"/>
    </row>
    <row r="395" s="1" customFormat="1" ht="18" customHeight="1" spans="1:7">
      <c r="A395" s="5">
        <v>393</v>
      </c>
      <c r="B395" s="5" t="str">
        <f>"邹圳"</f>
        <v>邹圳</v>
      </c>
      <c r="C395" s="5" t="str">
        <f>"70732024101616055512948"</f>
        <v>70732024101616055512948</v>
      </c>
      <c r="D395" s="5" t="str">
        <f t="shared" si="8"/>
        <v>E2024078</v>
      </c>
      <c r="E395" s="5" t="s">
        <v>13</v>
      </c>
      <c r="F395" s="5" t="s">
        <v>14</v>
      </c>
      <c r="G395" s="5"/>
    </row>
    <row r="396" s="1" customFormat="1" ht="18" customHeight="1" spans="1:7">
      <c r="A396" s="5">
        <v>394</v>
      </c>
      <c r="B396" s="5" t="str">
        <f>"李周雪"</f>
        <v>李周雪</v>
      </c>
      <c r="C396" s="5" t="str">
        <f>"70732024102018204332312"</f>
        <v>70732024102018204332312</v>
      </c>
      <c r="D396" s="5" t="str">
        <f t="shared" si="8"/>
        <v>E2024078</v>
      </c>
      <c r="E396" s="5" t="s">
        <v>13</v>
      </c>
      <c r="F396" s="5" t="s">
        <v>14</v>
      </c>
      <c r="G396" s="5"/>
    </row>
    <row r="397" s="1" customFormat="1" ht="18" customHeight="1" spans="1:7">
      <c r="A397" s="5">
        <v>395</v>
      </c>
      <c r="B397" s="5" t="str">
        <f>"曹灵刚"</f>
        <v>曹灵刚</v>
      </c>
      <c r="C397" s="5" t="str">
        <f>"70732024101722445721403"</f>
        <v>70732024101722445721403</v>
      </c>
      <c r="D397" s="5" t="str">
        <f t="shared" si="8"/>
        <v>E2024078</v>
      </c>
      <c r="E397" s="5" t="s">
        <v>13</v>
      </c>
      <c r="F397" s="5" t="s">
        <v>14</v>
      </c>
      <c r="G397" s="5"/>
    </row>
    <row r="398" s="1" customFormat="1" ht="18" customHeight="1" spans="1:7">
      <c r="A398" s="5">
        <v>396</v>
      </c>
      <c r="B398" s="5" t="str">
        <f>"杨金沅"</f>
        <v>杨金沅</v>
      </c>
      <c r="C398" s="5" t="str">
        <f>"70732024102021050732864"</f>
        <v>70732024102021050732864</v>
      </c>
      <c r="D398" s="5" t="str">
        <f t="shared" si="8"/>
        <v>E2024078</v>
      </c>
      <c r="E398" s="5" t="s">
        <v>13</v>
      </c>
      <c r="F398" s="5" t="s">
        <v>14</v>
      </c>
      <c r="G398" s="5"/>
    </row>
    <row r="399" s="1" customFormat="1" ht="18" customHeight="1" spans="1:7">
      <c r="A399" s="5">
        <v>397</v>
      </c>
      <c r="B399" s="5" t="str">
        <f>"杨姣"</f>
        <v>杨姣</v>
      </c>
      <c r="C399" s="5" t="str">
        <f>"70732024102021282332968"</f>
        <v>70732024102021282332968</v>
      </c>
      <c r="D399" s="5" t="str">
        <f t="shared" si="8"/>
        <v>E2024078</v>
      </c>
      <c r="E399" s="5" t="s">
        <v>13</v>
      </c>
      <c r="F399" s="5" t="s">
        <v>14</v>
      </c>
      <c r="G399" s="5"/>
    </row>
    <row r="400" s="1" customFormat="1" ht="18" customHeight="1" spans="1:7">
      <c r="A400" s="5">
        <v>398</v>
      </c>
      <c r="B400" s="5" t="str">
        <f>"林源"</f>
        <v>林源</v>
      </c>
      <c r="C400" s="5" t="str">
        <f>"70732024102023341033471"</f>
        <v>70732024102023341033471</v>
      </c>
      <c r="D400" s="5" t="str">
        <f t="shared" si="8"/>
        <v>E2024078</v>
      </c>
      <c r="E400" s="5" t="s">
        <v>13</v>
      </c>
      <c r="F400" s="5" t="s">
        <v>14</v>
      </c>
      <c r="G400" s="5"/>
    </row>
    <row r="401" s="1" customFormat="1" ht="18" customHeight="1" spans="1:7">
      <c r="A401" s="5">
        <v>399</v>
      </c>
      <c r="B401" s="5" t="str">
        <f>"廖星雨"</f>
        <v>廖星雨</v>
      </c>
      <c r="C401" s="5" t="str">
        <f>"70732024102111494236835"</f>
        <v>70732024102111494236835</v>
      </c>
      <c r="D401" s="5" t="str">
        <f t="shared" si="8"/>
        <v>E2024078</v>
      </c>
      <c r="E401" s="5" t="s">
        <v>13</v>
      </c>
      <c r="F401" s="5" t="s">
        <v>14</v>
      </c>
      <c r="G401" s="5"/>
    </row>
    <row r="402" s="1" customFormat="1" ht="18" customHeight="1" spans="1:7">
      <c r="A402" s="5">
        <v>400</v>
      </c>
      <c r="B402" s="5" t="str">
        <f>"龙楚渊"</f>
        <v>龙楚渊</v>
      </c>
      <c r="C402" s="5" t="str">
        <f>"70732024102111125536342"</f>
        <v>70732024102111125536342</v>
      </c>
      <c r="D402" s="5" t="str">
        <f t="shared" si="8"/>
        <v>E2024078</v>
      </c>
      <c r="E402" s="5" t="s">
        <v>13</v>
      </c>
      <c r="F402" s="5" t="s">
        <v>14</v>
      </c>
      <c r="G402" s="5"/>
    </row>
    <row r="403" s="1" customFormat="1" ht="18" customHeight="1" spans="1:7">
      <c r="A403" s="5">
        <v>401</v>
      </c>
      <c r="B403" s="5" t="str">
        <f>"向柯宇"</f>
        <v>向柯宇</v>
      </c>
      <c r="C403" s="5" t="str">
        <f>"70732024102112423637318"</f>
        <v>70732024102112423637318</v>
      </c>
      <c r="D403" s="5" t="str">
        <f t="shared" si="8"/>
        <v>E2024078</v>
      </c>
      <c r="E403" s="5" t="s">
        <v>13</v>
      </c>
      <c r="F403" s="5" t="s">
        <v>14</v>
      </c>
      <c r="G403" s="5"/>
    </row>
    <row r="404" s="1" customFormat="1" ht="18" customHeight="1" spans="1:7">
      <c r="A404" s="5">
        <v>402</v>
      </c>
      <c r="B404" s="5" t="str">
        <f>"向乔"</f>
        <v>向乔</v>
      </c>
      <c r="C404" s="5" t="str">
        <f>"70732024102114472738457"</f>
        <v>70732024102114472738457</v>
      </c>
      <c r="D404" s="5" t="str">
        <f t="shared" si="8"/>
        <v>E2024078</v>
      </c>
      <c r="E404" s="5" t="s">
        <v>13</v>
      </c>
      <c r="F404" s="5" t="s">
        <v>14</v>
      </c>
      <c r="G404" s="5"/>
    </row>
    <row r="405" s="1" customFormat="1" ht="18" customHeight="1" spans="1:7">
      <c r="A405" s="5">
        <v>403</v>
      </c>
      <c r="B405" s="5" t="str">
        <f>"龚光燊"</f>
        <v>龚光燊</v>
      </c>
      <c r="C405" s="5" t="str">
        <f>"70732024101710570216610"</f>
        <v>70732024101710570216610</v>
      </c>
      <c r="D405" s="5" t="str">
        <f t="shared" si="8"/>
        <v>E2024078</v>
      </c>
      <c r="E405" s="5" t="s">
        <v>13</v>
      </c>
      <c r="F405" s="5" t="s">
        <v>14</v>
      </c>
      <c r="G405" s="5"/>
    </row>
    <row r="406" s="1" customFormat="1" ht="18" customHeight="1" spans="1:7">
      <c r="A406" s="5">
        <v>404</v>
      </c>
      <c r="B406" s="5" t="str">
        <f>"黄亚星"</f>
        <v>黄亚星</v>
      </c>
      <c r="C406" s="5" t="str">
        <f>"70732024102119052341245"</f>
        <v>70732024102119052341245</v>
      </c>
      <c r="D406" s="5" t="str">
        <f t="shared" si="8"/>
        <v>E2024078</v>
      </c>
      <c r="E406" s="5" t="s">
        <v>13</v>
      </c>
      <c r="F406" s="5" t="s">
        <v>14</v>
      </c>
      <c r="G406" s="5"/>
    </row>
    <row r="407" s="1" customFormat="1" ht="18" customHeight="1" spans="1:7">
      <c r="A407" s="5">
        <v>405</v>
      </c>
      <c r="B407" s="5" t="str">
        <f>"马定娇"</f>
        <v>马定娇</v>
      </c>
      <c r="C407" s="5" t="str">
        <f>"70732024102121254442359"</f>
        <v>70732024102121254442359</v>
      </c>
      <c r="D407" s="5" t="str">
        <f t="shared" si="8"/>
        <v>E2024078</v>
      </c>
      <c r="E407" s="5" t="s">
        <v>13</v>
      </c>
      <c r="F407" s="5" t="s">
        <v>14</v>
      </c>
      <c r="G407" s="5"/>
    </row>
    <row r="408" s="1" customFormat="1" ht="18" customHeight="1" spans="1:7">
      <c r="A408" s="5">
        <v>406</v>
      </c>
      <c r="B408" s="5" t="str">
        <f>"张启元"</f>
        <v>张启元</v>
      </c>
      <c r="C408" s="5" t="str">
        <f>"70732024102216135447453"</f>
        <v>70732024102216135447453</v>
      </c>
      <c r="D408" s="5" t="str">
        <f t="shared" si="8"/>
        <v>E2024078</v>
      </c>
      <c r="E408" s="5" t="s">
        <v>13</v>
      </c>
      <c r="F408" s="5" t="s">
        <v>14</v>
      </c>
      <c r="G408" s="5"/>
    </row>
    <row r="409" s="1" customFormat="1" ht="18" customHeight="1" spans="1:7">
      <c r="A409" s="5">
        <v>407</v>
      </c>
      <c r="B409" s="5" t="str">
        <f>"陈增亿"</f>
        <v>陈增亿</v>
      </c>
      <c r="C409" s="5" t="str">
        <f>"7073202410141229334986"</f>
        <v>7073202410141229334986</v>
      </c>
      <c r="D409" s="5" t="str">
        <f t="shared" si="8"/>
        <v>E2024078</v>
      </c>
      <c r="E409" s="5" t="s">
        <v>13</v>
      </c>
      <c r="F409" s="5" t="s">
        <v>14</v>
      </c>
      <c r="G409" s="5"/>
    </row>
    <row r="410" s="1" customFormat="1" ht="18" customHeight="1" spans="1:7">
      <c r="A410" s="5">
        <v>408</v>
      </c>
      <c r="B410" s="5" t="str">
        <f>"李诗欣"</f>
        <v>李诗欣</v>
      </c>
      <c r="C410" s="5" t="str">
        <f>"70732024102218224648469"</f>
        <v>70732024102218224648469</v>
      </c>
      <c r="D410" s="5" t="str">
        <f t="shared" si="8"/>
        <v>E2024078</v>
      </c>
      <c r="E410" s="5" t="s">
        <v>13</v>
      </c>
      <c r="F410" s="5" t="s">
        <v>14</v>
      </c>
      <c r="G410" s="5"/>
    </row>
    <row r="411" s="1" customFormat="1" ht="18" customHeight="1" spans="1:7">
      <c r="A411" s="5">
        <v>409</v>
      </c>
      <c r="B411" s="5" t="str">
        <f>"李仁桥"</f>
        <v>李仁桥</v>
      </c>
      <c r="C411" s="5" t="str">
        <f>"70732024102300310050718"</f>
        <v>70732024102300310050718</v>
      </c>
      <c r="D411" s="5" t="str">
        <f t="shared" si="8"/>
        <v>E2024078</v>
      </c>
      <c r="E411" s="5" t="s">
        <v>13</v>
      </c>
      <c r="F411" s="5" t="s">
        <v>14</v>
      </c>
      <c r="G411" s="5"/>
    </row>
    <row r="412" s="1" customFormat="1" ht="18" customHeight="1" spans="1:7">
      <c r="A412" s="5">
        <v>410</v>
      </c>
      <c r="B412" s="5" t="str">
        <f>"龚彬"</f>
        <v>龚彬</v>
      </c>
      <c r="C412" s="5" t="str">
        <f>"70732024102315441357622"</f>
        <v>70732024102315441357622</v>
      </c>
      <c r="D412" s="5" t="str">
        <f t="shared" si="8"/>
        <v>E2024078</v>
      </c>
      <c r="E412" s="5" t="s">
        <v>13</v>
      </c>
      <c r="F412" s="5" t="s">
        <v>14</v>
      </c>
      <c r="G412" s="5"/>
    </row>
    <row r="413" s="1" customFormat="1" ht="18" customHeight="1" spans="1:7">
      <c r="A413" s="5">
        <v>411</v>
      </c>
      <c r="B413" s="5" t="str">
        <f>"夏永致"</f>
        <v>夏永致</v>
      </c>
      <c r="C413" s="5" t="str">
        <f>"70732024102320083860651"</f>
        <v>70732024102320083860651</v>
      </c>
      <c r="D413" s="5" t="str">
        <f t="shared" si="8"/>
        <v>E2024078</v>
      </c>
      <c r="E413" s="5" t="s">
        <v>13</v>
      </c>
      <c r="F413" s="5" t="s">
        <v>14</v>
      </c>
      <c r="G413" s="5"/>
    </row>
    <row r="414" s="1" customFormat="1" ht="18" customHeight="1" spans="1:7">
      <c r="A414" s="5">
        <v>412</v>
      </c>
      <c r="B414" s="5" t="str">
        <f>"牟琦"</f>
        <v>牟琦</v>
      </c>
      <c r="C414" s="5" t="str">
        <f>"70732024102322040662001"</f>
        <v>70732024102322040662001</v>
      </c>
      <c r="D414" s="5" t="str">
        <f t="shared" si="8"/>
        <v>E2024078</v>
      </c>
      <c r="E414" s="5" t="s">
        <v>13</v>
      </c>
      <c r="F414" s="5" t="s">
        <v>14</v>
      </c>
      <c r="G414" s="5"/>
    </row>
    <row r="415" s="1" customFormat="1" ht="18" customHeight="1" spans="1:7">
      <c r="A415" s="5">
        <v>413</v>
      </c>
      <c r="B415" s="5" t="str">
        <f>"田钟"</f>
        <v>田钟</v>
      </c>
      <c r="C415" s="5" t="str">
        <f>"70732024102411131965505"</f>
        <v>70732024102411131965505</v>
      </c>
      <c r="D415" s="5" t="str">
        <f t="shared" si="8"/>
        <v>E2024078</v>
      </c>
      <c r="E415" s="5" t="s">
        <v>13</v>
      </c>
      <c r="F415" s="5" t="s">
        <v>14</v>
      </c>
      <c r="G415" s="5"/>
    </row>
    <row r="416" s="1" customFormat="1" ht="18" customHeight="1" spans="1:7">
      <c r="A416" s="5">
        <v>414</v>
      </c>
      <c r="B416" s="5" t="str">
        <f>"雷斯淇"</f>
        <v>雷斯淇</v>
      </c>
      <c r="C416" s="5" t="str">
        <f>"70732024102412090966018"</f>
        <v>70732024102412090966018</v>
      </c>
      <c r="D416" s="5" t="str">
        <f t="shared" si="8"/>
        <v>E2024078</v>
      </c>
      <c r="E416" s="5" t="s">
        <v>13</v>
      </c>
      <c r="F416" s="5" t="s">
        <v>14</v>
      </c>
      <c r="G416" s="5"/>
    </row>
    <row r="417" s="1" customFormat="1" ht="18" customHeight="1" spans="1:7">
      <c r="A417" s="5">
        <v>415</v>
      </c>
      <c r="B417" s="5" t="str">
        <f>"谭林波"</f>
        <v>谭林波</v>
      </c>
      <c r="C417" s="5" t="str">
        <f>"70732024102412374766276"</f>
        <v>70732024102412374766276</v>
      </c>
      <c r="D417" s="5" t="str">
        <f t="shared" si="8"/>
        <v>E2024078</v>
      </c>
      <c r="E417" s="5" t="s">
        <v>13</v>
      </c>
      <c r="F417" s="5" t="s">
        <v>14</v>
      </c>
      <c r="G417" s="5"/>
    </row>
    <row r="418" s="1" customFormat="1" ht="18" customHeight="1" spans="1:7">
      <c r="A418" s="5">
        <v>416</v>
      </c>
      <c r="B418" s="5" t="str">
        <f>"范琪琪"</f>
        <v>范琪琪</v>
      </c>
      <c r="C418" s="5" t="str">
        <f>"70732024102413542066955"</f>
        <v>70732024102413542066955</v>
      </c>
      <c r="D418" s="5" t="str">
        <f t="shared" si="8"/>
        <v>E2024078</v>
      </c>
      <c r="E418" s="5" t="s">
        <v>13</v>
      </c>
      <c r="F418" s="5" t="s">
        <v>14</v>
      </c>
      <c r="G418" s="5"/>
    </row>
    <row r="419" s="1" customFormat="1" ht="18" customHeight="1" spans="1:7">
      <c r="A419" s="5">
        <v>417</v>
      </c>
      <c r="B419" s="5" t="str">
        <f>"安鹏泰"</f>
        <v>安鹏泰</v>
      </c>
      <c r="C419" s="5" t="str">
        <f>"70732024101919124929701"</f>
        <v>70732024101919124929701</v>
      </c>
      <c r="D419" s="5" t="str">
        <f t="shared" si="8"/>
        <v>E2024078</v>
      </c>
      <c r="E419" s="5" t="s">
        <v>13</v>
      </c>
      <c r="F419" s="5" t="s">
        <v>14</v>
      </c>
      <c r="G419" s="5"/>
    </row>
    <row r="420" s="1" customFormat="1" ht="18" customHeight="1" spans="1:7">
      <c r="A420" s="5">
        <v>418</v>
      </c>
      <c r="B420" s="5" t="str">
        <f>"杨晨"</f>
        <v>杨晨</v>
      </c>
      <c r="C420" s="5" t="str">
        <f>"70732024102413532766948"</f>
        <v>70732024102413532766948</v>
      </c>
      <c r="D420" s="5" t="str">
        <f t="shared" si="8"/>
        <v>E2024078</v>
      </c>
      <c r="E420" s="5" t="s">
        <v>13</v>
      </c>
      <c r="F420" s="5" t="s">
        <v>14</v>
      </c>
      <c r="G420" s="5"/>
    </row>
    <row r="421" s="1" customFormat="1" ht="18" customHeight="1" spans="1:7">
      <c r="A421" s="5">
        <v>419</v>
      </c>
      <c r="B421" s="5" t="str">
        <f>"朱鹏"</f>
        <v>朱鹏</v>
      </c>
      <c r="C421" s="5" t="str">
        <f>"70732024101721113120866"</f>
        <v>70732024101721113120866</v>
      </c>
      <c r="D421" s="5" t="str">
        <f t="shared" si="8"/>
        <v>E2024078</v>
      </c>
      <c r="E421" s="5" t="s">
        <v>13</v>
      </c>
      <c r="F421" s="5" t="s">
        <v>14</v>
      </c>
      <c r="G421" s="5"/>
    </row>
    <row r="422" s="1" customFormat="1" ht="18" customHeight="1" spans="1:7">
      <c r="A422" s="5">
        <v>420</v>
      </c>
      <c r="B422" s="5" t="str">
        <f>"周榆峰"</f>
        <v>周榆峰</v>
      </c>
      <c r="C422" s="5" t="str">
        <f>"70732024102415502568222"</f>
        <v>70732024102415502568222</v>
      </c>
      <c r="D422" s="5" t="str">
        <f t="shared" si="8"/>
        <v>E2024078</v>
      </c>
      <c r="E422" s="5" t="s">
        <v>13</v>
      </c>
      <c r="F422" s="5" t="s">
        <v>14</v>
      </c>
      <c r="G422" s="5"/>
    </row>
    <row r="423" s="1" customFormat="1" ht="18" customHeight="1" spans="1:7">
      <c r="A423" s="5">
        <v>421</v>
      </c>
      <c r="B423" s="5" t="str">
        <f>"杨晶晶"</f>
        <v>杨晶晶</v>
      </c>
      <c r="C423" s="5" t="str">
        <f>"70732024102415455868170"</f>
        <v>70732024102415455868170</v>
      </c>
      <c r="D423" s="5" t="str">
        <f t="shared" si="8"/>
        <v>E2024078</v>
      </c>
      <c r="E423" s="5" t="s">
        <v>13</v>
      </c>
      <c r="F423" s="5" t="s">
        <v>14</v>
      </c>
      <c r="G423" s="5"/>
    </row>
    <row r="424" s="1" customFormat="1" ht="18" customHeight="1" spans="1:7">
      <c r="A424" s="5">
        <v>422</v>
      </c>
      <c r="B424" s="5" t="str">
        <f>"金家敏"</f>
        <v>金家敏</v>
      </c>
      <c r="C424" s="5" t="str">
        <f>"70732024102416441768829"</f>
        <v>70732024102416441768829</v>
      </c>
      <c r="D424" s="5" t="str">
        <f t="shared" si="8"/>
        <v>E2024078</v>
      </c>
      <c r="E424" s="5" t="s">
        <v>13</v>
      </c>
      <c r="F424" s="5" t="s">
        <v>14</v>
      </c>
      <c r="G424" s="5"/>
    </row>
    <row r="425" s="1" customFormat="1" ht="18" customHeight="1" spans="1:7">
      <c r="A425" s="5">
        <v>423</v>
      </c>
      <c r="B425" s="5" t="str">
        <f>"饶雪虎"</f>
        <v>饶雪虎</v>
      </c>
      <c r="C425" s="5" t="str">
        <f>"70732024102302212050782"</f>
        <v>70732024102302212050782</v>
      </c>
      <c r="D425" s="5" t="str">
        <f t="shared" si="8"/>
        <v>E2024078</v>
      </c>
      <c r="E425" s="5" t="s">
        <v>13</v>
      </c>
      <c r="F425" s="5" t="s">
        <v>14</v>
      </c>
      <c r="G425" s="5"/>
    </row>
    <row r="426" s="1" customFormat="1" ht="18" customHeight="1" spans="1:7">
      <c r="A426" s="5">
        <v>424</v>
      </c>
      <c r="B426" s="5" t="str">
        <f>"谭鸿琦"</f>
        <v>谭鸿琦</v>
      </c>
      <c r="C426" s="5" t="str">
        <f>"70732024102412585266477"</f>
        <v>70732024102412585266477</v>
      </c>
      <c r="D426" s="5" t="str">
        <f t="shared" si="8"/>
        <v>E2024078</v>
      </c>
      <c r="E426" s="5" t="s">
        <v>13</v>
      </c>
      <c r="F426" s="5" t="s">
        <v>14</v>
      </c>
      <c r="G426" s="5"/>
    </row>
    <row r="427" s="1" customFormat="1" ht="18" customHeight="1" spans="1:7">
      <c r="A427" s="5">
        <v>425</v>
      </c>
      <c r="B427" s="5" t="str">
        <f>"田辉"</f>
        <v>田辉</v>
      </c>
      <c r="C427" s="5" t="str">
        <f>"70732024102507184872799"</f>
        <v>70732024102507184872799</v>
      </c>
      <c r="D427" s="5" t="str">
        <f t="shared" si="8"/>
        <v>E2024078</v>
      </c>
      <c r="E427" s="5" t="s">
        <v>13</v>
      </c>
      <c r="F427" s="5" t="s">
        <v>14</v>
      </c>
      <c r="G427" s="5"/>
    </row>
    <row r="428" s="1" customFormat="1" ht="18" customHeight="1" spans="1:7">
      <c r="A428" s="5">
        <v>426</v>
      </c>
      <c r="B428" s="5" t="str">
        <f>"洪帅"</f>
        <v>洪帅</v>
      </c>
      <c r="C428" s="5" t="str">
        <f>"70732024102510024273858"</f>
        <v>70732024102510024273858</v>
      </c>
      <c r="D428" s="5" t="str">
        <f t="shared" si="8"/>
        <v>E2024078</v>
      </c>
      <c r="E428" s="5" t="s">
        <v>13</v>
      </c>
      <c r="F428" s="5" t="s">
        <v>14</v>
      </c>
      <c r="G428" s="5"/>
    </row>
    <row r="429" s="1" customFormat="1" ht="18" customHeight="1" spans="1:7">
      <c r="A429" s="5">
        <v>427</v>
      </c>
      <c r="B429" s="5" t="str">
        <f>"刘昱"</f>
        <v>刘昱</v>
      </c>
      <c r="C429" s="5" t="str">
        <f>"70732024102512534275491"</f>
        <v>70732024102512534275491</v>
      </c>
      <c r="D429" s="5" t="str">
        <f t="shared" si="8"/>
        <v>E2024078</v>
      </c>
      <c r="E429" s="5" t="s">
        <v>13</v>
      </c>
      <c r="F429" s="5" t="s">
        <v>14</v>
      </c>
      <c r="G429" s="5"/>
    </row>
    <row r="430" s="1" customFormat="1" ht="18" customHeight="1" spans="1:7">
      <c r="A430" s="5">
        <v>428</v>
      </c>
      <c r="B430" s="5" t="str">
        <f>"董庭煜"</f>
        <v>董庭煜</v>
      </c>
      <c r="C430" s="5" t="str">
        <f>"70732024102514484076495"</f>
        <v>70732024102514484076495</v>
      </c>
      <c r="D430" s="5" t="str">
        <f t="shared" si="8"/>
        <v>E2024078</v>
      </c>
      <c r="E430" s="5" t="s">
        <v>13</v>
      </c>
      <c r="F430" s="5" t="s">
        <v>14</v>
      </c>
      <c r="G430" s="5"/>
    </row>
    <row r="431" s="1" customFormat="1" ht="18" customHeight="1" spans="1:7">
      <c r="A431" s="5">
        <v>429</v>
      </c>
      <c r="B431" s="5" t="str">
        <f>"王迪"</f>
        <v>王迪</v>
      </c>
      <c r="C431" s="5" t="str">
        <f>"70732024102515101476778"</f>
        <v>70732024102515101476778</v>
      </c>
      <c r="D431" s="5" t="str">
        <f t="shared" si="8"/>
        <v>E2024078</v>
      </c>
      <c r="E431" s="5" t="s">
        <v>13</v>
      </c>
      <c r="F431" s="5" t="s">
        <v>14</v>
      </c>
      <c r="G431" s="5"/>
    </row>
    <row r="432" s="1" customFormat="1" ht="18" customHeight="1" spans="1:7">
      <c r="A432" s="5">
        <v>430</v>
      </c>
      <c r="B432" s="5" t="str">
        <f>"姚逢栋"</f>
        <v>姚逢栋</v>
      </c>
      <c r="C432" s="5" t="str">
        <f>"70732024102516054277432"</f>
        <v>70732024102516054277432</v>
      </c>
      <c r="D432" s="5" t="str">
        <f t="shared" si="8"/>
        <v>E2024078</v>
      </c>
      <c r="E432" s="5" t="s">
        <v>13</v>
      </c>
      <c r="F432" s="5" t="s">
        <v>14</v>
      </c>
      <c r="G432" s="5"/>
    </row>
    <row r="433" s="1" customFormat="1" ht="18" customHeight="1" spans="1:7">
      <c r="A433" s="5">
        <v>431</v>
      </c>
      <c r="B433" s="5" t="str">
        <f>"周俊"</f>
        <v>周俊</v>
      </c>
      <c r="C433" s="5" t="str">
        <f>"7073202410121507592469"</f>
        <v>7073202410121507592469</v>
      </c>
      <c r="D433" s="5" t="str">
        <f t="shared" ref="D433:D440" si="9">"E2024079"</f>
        <v>E2024079</v>
      </c>
      <c r="E433" s="5" t="s">
        <v>15</v>
      </c>
      <c r="F433" s="5" t="s">
        <v>16</v>
      </c>
      <c r="G433" s="5"/>
    </row>
    <row r="434" s="1" customFormat="1" ht="18" customHeight="1" spans="1:7">
      <c r="A434" s="5">
        <v>432</v>
      </c>
      <c r="B434" s="5" t="str">
        <f>"尹昕怡"</f>
        <v>尹昕怡</v>
      </c>
      <c r="C434" s="5" t="str">
        <f>"7073202410141421355217"</f>
        <v>7073202410141421355217</v>
      </c>
      <c r="D434" s="5" t="str">
        <f t="shared" si="9"/>
        <v>E2024079</v>
      </c>
      <c r="E434" s="5" t="s">
        <v>15</v>
      </c>
      <c r="F434" s="5" t="s">
        <v>16</v>
      </c>
      <c r="G434" s="5"/>
    </row>
    <row r="435" s="1" customFormat="1" ht="18" customHeight="1" spans="1:7">
      <c r="A435" s="5">
        <v>433</v>
      </c>
      <c r="B435" s="5" t="str">
        <f>"郎红"</f>
        <v>郎红</v>
      </c>
      <c r="C435" s="5" t="str">
        <f>"70732024101618005313476"</f>
        <v>70732024101618005313476</v>
      </c>
      <c r="D435" s="5" t="str">
        <f t="shared" si="9"/>
        <v>E2024079</v>
      </c>
      <c r="E435" s="5" t="s">
        <v>15</v>
      </c>
      <c r="F435" s="5" t="s">
        <v>16</v>
      </c>
      <c r="G435" s="5"/>
    </row>
    <row r="436" s="1" customFormat="1" ht="18" customHeight="1" spans="1:7">
      <c r="A436" s="5">
        <v>434</v>
      </c>
      <c r="B436" s="5" t="str">
        <f>"谭佐龙"</f>
        <v>谭佐龙</v>
      </c>
      <c r="C436" s="5" t="str">
        <f>"70732024101714343618073"</f>
        <v>70732024101714343618073</v>
      </c>
      <c r="D436" s="5" t="str">
        <f t="shared" si="9"/>
        <v>E2024079</v>
      </c>
      <c r="E436" s="5" t="s">
        <v>15</v>
      </c>
      <c r="F436" s="5" t="s">
        <v>16</v>
      </c>
      <c r="G436" s="5"/>
    </row>
    <row r="437" s="1" customFormat="1" ht="18" customHeight="1" spans="1:7">
      <c r="A437" s="5">
        <v>435</v>
      </c>
      <c r="B437" s="5" t="str">
        <f>"秦嘉"</f>
        <v>秦嘉</v>
      </c>
      <c r="C437" s="5" t="str">
        <f>"70732024101715520818689"</f>
        <v>70732024101715520818689</v>
      </c>
      <c r="D437" s="5" t="str">
        <f t="shared" si="9"/>
        <v>E2024079</v>
      </c>
      <c r="E437" s="5" t="s">
        <v>15</v>
      </c>
      <c r="F437" s="5" t="s">
        <v>16</v>
      </c>
      <c r="G437" s="5"/>
    </row>
    <row r="438" s="1" customFormat="1" ht="18" customHeight="1" spans="1:7">
      <c r="A438" s="5">
        <v>436</v>
      </c>
      <c r="B438" s="5" t="str">
        <f>"张芮"</f>
        <v>张芮</v>
      </c>
      <c r="C438" s="5" t="str">
        <f>"70732024101814545224716"</f>
        <v>70732024101814545224716</v>
      </c>
      <c r="D438" s="5" t="str">
        <f t="shared" si="9"/>
        <v>E2024079</v>
      </c>
      <c r="E438" s="5" t="s">
        <v>15</v>
      </c>
      <c r="F438" s="5" t="s">
        <v>16</v>
      </c>
      <c r="G438" s="5"/>
    </row>
    <row r="439" s="1" customFormat="1" ht="18" customHeight="1" spans="1:7">
      <c r="A439" s="5">
        <v>437</v>
      </c>
      <c r="B439" s="5" t="str">
        <f>"姜金宏"</f>
        <v>姜金宏</v>
      </c>
      <c r="C439" s="5" t="str">
        <f>"70732024102418373669849"</f>
        <v>70732024102418373669849</v>
      </c>
      <c r="D439" s="5" t="str">
        <f t="shared" si="9"/>
        <v>E2024079</v>
      </c>
      <c r="E439" s="5" t="s">
        <v>15</v>
      </c>
      <c r="F439" s="5" t="s">
        <v>16</v>
      </c>
      <c r="G439" s="5"/>
    </row>
    <row r="440" s="1" customFormat="1" ht="18" customHeight="1" spans="1:7">
      <c r="A440" s="5">
        <v>438</v>
      </c>
      <c r="B440" s="5" t="str">
        <f>"黑超超"</f>
        <v>黑超超</v>
      </c>
      <c r="C440" s="5" t="str">
        <f>"70732024102511132574633"</f>
        <v>70732024102511132574633</v>
      </c>
      <c r="D440" s="5" t="str">
        <f t="shared" si="9"/>
        <v>E2024079</v>
      </c>
      <c r="E440" s="5" t="s">
        <v>15</v>
      </c>
      <c r="F440" s="5" t="s">
        <v>16</v>
      </c>
      <c r="G440" s="5"/>
    </row>
    <row r="441" s="1" customFormat="1" ht="18" customHeight="1" spans="1:7">
      <c r="A441" s="5">
        <v>439</v>
      </c>
      <c r="B441" s="5" t="str">
        <f>"李超岚"</f>
        <v>李超岚</v>
      </c>
      <c r="C441" s="5" t="str">
        <f>"7073202410120904471493"</f>
        <v>7073202410120904471493</v>
      </c>
      <c r="D441" s="5" t="str">
        <f t="shared" ref="D441:D478" si="10">"E2024080"</f>
        <v>E2024080</v>
      </c>
      <c r="E441" s="5" t="s">
        <v>17</v>
      </c>
      <c r="F441" s="5" t="s">
        <v>18</v>
      </c>
      <c r="G441" s="5"/>
    </row>
    <row r="442" s="1" customFormat="1" ht="18" customHeight="1" spans="1:7">
      <c r="A442" s="5">
        <v>440</v>
      </c>
      <c r="B442" s="5" t="str">
        <f>"简定铮"</f>
        <v>简定铮</v>
      </c>
      <c r="C442" s="5" t="str">
        <f>"7073202410120932521619"</f>
        <v>7073202410120932521619</v>
      </c>
      <c r="D442" s="5" t="str">
        <f t="shared" si="10"/>
        <v>E2024080</v>
      </c>
      <c r="E442" s="5" t="s">
        <v>17</v>
      </c>
      <c r="F442" s="5" t="s">
        <v>18</v>
      </c>
      <c r="G442" s="5"/>
    </row>
    <row r="443" s="1" customFormat="1" ht="18" customHeight="1" spans="1:7">
      <c r="A443" s="5">
        <v>441</v>
      </c>
      <c r="B443" s="5" t="str">
        <f>"胡姣"</f>
        <v>胡姣</v>
      </c>
      <c r="C443" s="5" t="str">
        <f>"7073202410120927331598"</f>
        <v>7073202410120927331598</v>
      </c>
      <c r="D443" s="5" t="str">
        <f t="shared" si="10"/>
        <v>E2024080</v>
      </c>
      <c r="E443" s="5" t="s">
        <v>17</v>
      </c>
      <c r="F443" s="5" t="s">
        <v>18</v>
      </c>
      <c r="G443" s="5"/>
    </row>
    <row r="444" s="1" customFormat="1" ht="18" customHeight="1" spans="1:7">
      <c r="A444" s="5">
        <v>442</v>
      </c>
      <c r="B444" s="5" t="str">
        <f>"孟亚"</f>
        <v>孟亚</v>
      </c>
      <c r="C444" s="5" t="str">
        <f>"7073202410121000081728"</f>
        <v>7073202410121000081728</v>
      </c>
      <c r="D444" s="5" t="str">
        <f t="shared" si="10"/>
        <v>E2024080</v>
      </c>
      <c r="E444" s="5" t="s">
        <v>17</v>
      </c>
      <c r="F444" s="5" t="s">
        <v>18</v>
      </c>
      <c r="G444" s="5"/>
    </row>
    <row r="445" s="1" customFormat="1" ht="18" customHeight="1" spans="1:7">
      <c r="A445" s="5">
        <v>443</v>
      </c>
      <c r="B445" s="5" t="str">
        <f>"陈媛媛"</f>
        <v>陈媛媛</v>
      </c>
      <c r="C445" s="5" t="str">
        <f>"7073202410121031121846"</f>
        <v>7073202410121031121846</v>
      </c>
      <c r="D445" s="5" t="str">
        <f t="shared" si="10"/>
        <v>E2024080</v>
      </c>
      <c r="E445" s="5" t="s">
        <v>17</v>
      </c>
      <c r="F445" s="5" t="s">
        <v>18</v>
      </c>
      <c r="G445" s="5"/>
    </row>
    <row r="446" s="1" customFormat="1" ht="18" customHeight="1" spans="1:7">
      <c r="A446" s="5">
        <v>444</v>
      </c>
      <c r="B446" s="5" t="str">
        <f>"覃士珍"</f>
        <v>覃士珍</v>
      </c>
      <c r="C446" s="5" t="str">
        <f>"7073202410121046231889"</f>
        <v>7073202410121046231889</v>
      </c>
      <c r="D446" s="5" t="str">
        <f t="shared" si="10"/>
        <v>E2024080</v>
      </c>
      <c r="E446" s="5" t="s">
        <v>17</v>
      </c>
      <c r="F446" s="5" t="s">
        <v>18</v>
      </c>
      <c r="G446" s="5"/>
    </row>
    <row r="447" s="1" customFormat="1" ht="18" customHeight="1" spans="1:7">
      <c r="A447" s="5">
        <v>445</v>
      </c>
      <c r="B447" s="5" t="str">
        <f>"李晓燕"</f>
        <v>李晓燕</v>
      </c>
      <c r="C447" s="5" t="str">
        <f>"7073202410121151592101"</f>
        <v>7073202410121151592101</v>
      </c>
      <c r="D447" s="5" t="str">
        <f t="shared" si="10"/>
        <v>E2024080</v>
      </c>
      <c r="E447" s="5" t="s">
        <v>17</v>
      </c>
      <c r="F447" s="5" t="s">
        <v>18</v>
      </c>
      <c r="G447" s="5"/>
    </row>
    <row r="448" s="1" customFormat="1" ht="18" customHeight="1" spans="1:7">
      <c r="A448" s="5">
        <v>446</v>
      </c>
      <c r="B448" s="5" t="str">
        <f>"罗娅萌"</f>
        <v>罗娅萌</v>
      </c>
      <c r="C448" s="5" t="str">
        <f>"7073202410121249452227"</f>
        <v>7073202410121249452227</v>
      </c>
      <c r="D448" s="5" t="str">
        <f t="shared" si="10"/>
        <v>E2024080</v>
      </c>
      <c r="E448" s="5" t="s">
        <v>17</v>
      </c>
      <c r="F448" s="5" t="s">
        <v>18</v>
      </c>
      <c r="G448" s="5"/>
    </row>
    <row r="449" s="1" customFormat="1" ht="18" customHeight="1" spans="1:7">
      <c r="A449" s="5">
        <v>447</v>
      </c>
      <c r="B449" s="5" t="str">
        <f>"向桂钦"</f>
        <v>向桂钦</v>
      </c>
      <c r="C449" s="5" t="str">
        <f>"7073202410130001173119"</f>
        <v>7073202410130001173119</v>
      </c>
      <c r="D449" s="5" t="str">
        <f t="shared" si="10"/>
        <v>E2024080</v>
      </c>
      <c r="E449" s="5" t="s">
        <v>17</v>
      </c>
      <c r="F449" s="5" t="s">
        <v>18</v>
      </c>
      <c r="G449" s="5"/>
    </row>
    <row r="450" s="1" customFormat="1" ht="18" customHeight="1" spans="1:7">
      <c r="A450" s="5">
        <v>448</v>
      </c>
      <c r="B450" s="5" t="str">
        <f>"向盈"</f>
        <v>向盈</v>
      </c>
      <c r="C450" s="5" t="str">
        <f>"7073202410130840233157"</f>
        <v>7073202410130840233157</v>
      </c>
      <c r="D450" s="5" t="str">
        <f t="shared" si="10"/>
        <v>E2024080</v>
      </c>
      <c r="E450" s="5" t="s">
        <v>17</v>
      </c>
      <c r="F450" s="5" t="s">
        <v>18</v>
      </c>
      <c r="G450" s="5"/>
    </row>
    <row r="451" s="1" customFormat="1" ht="18" customHeight="1" spans="1:7">
      <c r="A451" s="5">
        <v>449</v>
      </c>
      <c r="B451" s="5" t="str">
        <f>"王梦连"</f>
        <v>王梦连</v>
      </c>
      <c r="C451" s="5" t="str">
        <f>"7073202410131107063273"</f>
        <v>7073202410131107063273</v>
      </c>
      <c r="D451" s="5" t="str">
        <f t="shared" si="10"/>
        <v>E2024080</v>
      </c>
      <c r="E451" s="5" t="s">
        <v>17</v>
      </c>
      <c r="F451" s="5" t="s">
        <v>18</v>
      </c>
      <c r="G451" s="5"/>
    </row>
    <row r="452" s="1" customFormat="1" ht="18" customHeight="1" spans="1:7">
      <c r="A452" s="5">
        <v>450</v>
      </c>
      <c r="B452" s="5" t="str">
        <f>"张婷婷"</f>
        <v>张婷婷</v>
      </c>
      <c r="C452" s="5" t="str">
        <f>"7073202410131442103471"</f>
        <v>7073202410131442103471</v>
      </c>
      <c r="D452" s="5" t="str">
        <f t="shared" si="10"/>
        <v>E2024080</v>
      </c>
      <c r="E452" s="5" t="s">
        <v>17</v>
      </c>
      <c r="F452" s="5" t="s">
        <v>18</v>
      </c>
      <c r="G452" s="5"/>
    </row>
    <row r="453" s="1" customFormat="1" ht="18" customHeight="1" spans="1:7">
      <c r="A453" s="5">
        <v>451</v>
      </c>
      <c r="B453" s="5" t="str">
        <f>"陈敏"</f>
        <v>陈敏</v>
      </c>
      <c r="C453" s="5" t="str">
        <f>"7073202410131608373562"</f>
        <v>7073202410131608373562</v>
      </c>
      <c r="D453" s="5" t="str">
        <f t="shared" si="10"/>
        <v>E2024080</v>
      </c>
      <c r="E453" s="5" t="s">
        <v>17</v>
      </c>
      <c r="F453" s="5" t="s">
        <v>18</v>
      </c>
      <c r="G453" s="5"/>
    </row>
    <row r="454" s="1" customFormat="1" ht="18" customHeight="1" spans="1:7">
      <c r="A454" s="5">
        <v>452</v>
      </c>
      <c r="B454" s="5" t="str">
        <f>"李菊芳"</f>
        <v>李菊芳</v>
      </c>
      <c r="C454" s="5" t="str">
        <f>"7073202410140907044063"</f>
        <v>7073202410140907044063</v>
      </c>
      <c r="D454" s="5" t="str">
        <f t="shared" si="10"/>
        <v>E2024080</v>
      </c>
      <c r="E454" s="5" t="s">
        <v>17</v>
      </c>
      <c r="F454" s="5" t="s">
        <v>18</v>
      </c>
      <c r="G454" s="5"/>
    </row>
    <row r="455" s="1" customFormat="1" ht="18" customHeight="1" spans="1:7">
      <c r="A455" s="5">
        <v>453</v>
      </c>
      <c r="B455" s="5" t="str">
        <f>"陈秋"</f>
        <v>陈秋</v>
      </c>
      <c r="C455" s="5" t="str">
        <f>"7073202410141008294426"</f>
        <v>7073202410141008294426</v>
      </c>
      <c r="D455" s="5" t="str">
        <f t="shared" si="10"/>
        <v>E2024080</v>
      </c>
      <c r="E455" s="5" t="s">
        <v>17</v>
      </c>
      <c r="F455" s="5" t="s">
        <v>18</v>
      </c>
      <c r="G455" s="5"/>
    </row>
    <row r="456" s="1" customFormat="1" ht="18" customHeight="1" spans="1:7">
      <c r="A456" s="5">
        <v>454</v>
      </c>
      <c r="B456" s="5" t="str">
        <f>"向琴"</f>
        <v>向琴</v>
      </c>
      <c r="C456" s="5" t="str">
        <f>"7073202410141018484466"</f>
        <v>7073202410141018484466</v>
      </c>
      <c r="D456" s="5" t="str">
        <f t="shared" si="10"/>
        <v>E2024080</v>
      </c>
      <c r="E456" s="5" t="s">
        <v>17</v>
      </c>
      <c r="F456" s="5" t="s">
        <v>18</v>
      </c>
      <c r="G456" s="5"/>
    </row>
    <row r="457" s="1" customFormat="1" ht="18" customHeight="1" spans="1:7">
      <c r="A457" s="5">
        <v>455</v>
      </c>
      <c r="B457" s="5" t="str">
        <f>"徐浩"</f>
        <v>徐浩</v>
      </c>
      <c r="C457" s="5" t="str">
        <f>"7073202410130856483167"</f>
        <v>7073202410130856483167</v>
      </c>
      <c r="D457" s="5" t="str">
        <f t="shared" si="10"/>
        <v>E2024080</v>
      </c>
      <c r="E457" s="5" t="s">
        <v>17</v>
      </c>
      <c r="F457" s="5" t="s">
        <v>18</v>
      </c>
      <c r="G457" s="5"/>
    </row>
    <row r="458" s="1" customFormat="1" ht="18" customHeight="1" spans="1:7">
      <c r="A458" s="5">
        <v>456</v>
      </c>
      <c r="B458" s="5" t="str">
        <f>"谢银菊"</f>
        <v>谢银菊</v>
      </c>
      <c r="C458" s="5" t="str">
        <f>"7073202410142221186283"</f>
        <v>7073202410142221186283</v>
      </c>
      <c r="D458" s="5" t="str">
        <f t="shared" si="10"/>
        <v>E2024080</v>
      </c>
      <c r="E458" s="5" t="s">
        <v>17</v>
      </c>
      <c r="F458" s="5" t="s">
        <v>18</v>
      </c>
      <c r="G458" s="5"/>
    </row>
    <row r="459" s="1" customFormat="1" ht="18" customHeight="1" spans="1:7">
      <c r="A459" s="5">
        <v>457</v>
      </c>
      <c r="B459" s="5" t="str">
        <f>"蒋苗苗"</f>
        <v>蒋苗苗</v>
      </c>
      <c r="C459" s="5" t="str">
        <f>"7073202410122324123109"</f>
        <v>7073202410122324123109</v>
      </c>
      <c r="D459" s="5" t="str">
        <f t="shared" si="10"/>
        <v>E2024080</v>
      </c>
      <c r="E459" s="5" t="s">
        <v>17</v>
      </c>
      <c r="F459" s="5" t="s">
        <v>18</v>
      </c>
      <c r="G459" s="5"/>
    </row>
    <row r="460" s="1" customFormat="1" ht="18" customHeight="1" spans="1:7">
      <c r="A460" s="5">
        <v>458</v>
      </c>
      <c r="B460" s="5" t="str">
        <f>"李妍洁"</f>
        <v>李妍洁</v>
      </c>
      <c r="C460" s="5" t="str">
        <f>"70732024101616102812978"</f>
        <v>70732024101616102812978</v>
      </c>
      <c r="D460" s="5" t="str">
        <f t="shared" si="10"/>
        <v>E2024080</v>
      </c>
      <c r="E460" s="5" t="s">
        <v>17</v>
      </c>
      <c r="F460" s="5" t="s">
        <v>18</v>
      </c>
      <c r="G460" s="5"/>
    </row>
    <row r="461" s="1" customFormat="1" ht="18" customHeight="1" spans="1:7">
      <c r="A461" s="5">
        <v>459</v>
      </c>
      <c r="B461" s="5" t="str">
        <f>"田郑妍斐"</f>
        <v>田郑妍斐</v>
      </c>
      <c r="C461" s="5" t="str">
        <f>"70732024101614360112475"</f>
        <v>70732024101614360112475</v>
      </c>
      <c r="D461" s="5" t="str">
        <f t="shared" si="10"/>
        <v>E2024080</v>
      </c>
      <c r="E461" s="5" t="s">
        <v>17</v>
      </c>
      <c r="F461" s="5" t="s">
        <v>18</v>
      </c>
      <c r="G461" s="5"/>
    </row>
    <row r="462" s="1" customFormat="1" ht="18" customHeight="1" spans="1:7">
      <c r="A462" s="5">
        <v>460</v>
      </c>
      <c r="B462" s="5" t="str">
        <f>"汪伟"</f>
        <v>汪伟</v>
      </c>
      <c r="C462" s="5" t="str">
        <f>"70732024101918523929640"</f>
        <v>70732024101918523929640</v>
      </c>
      <c r="D462" s="5" t="str">
        <f t="shared" si="10"/>
        <v>E2024080</v>
      </c>
      <c r="E462" s="5" t="s">
        <v>17</v>
      </c>
      <c r="F462" s="5" t="s">
        <v>18</v>
      </c>
      <c r="G462" s="5"/>
    </row>
    <row r="463" s="1" customFormat="1" ht="18" customHeight="1" spans="1:7">
      <c r="A463" s="5">
        <v>461</v>
      </c>
      <c r="B463" s="5" t="str">
        <f>"王建"</f>
        <v>王建</v>
      </c>
      <c r="C463" s="5" t="str">
        <f>"70732024102014392731639"</f>
        <v>70732024102014392731639</v>
      </c>
      <c r="D463" s="5" t="str">
        <f t="shared" si="10"/>
        <v>E2024080</v>
      </c>
      <c r="E463" s="5" t="s">
        <v>17</v>
      </c>
      <c r="F463" s="5" t="s">
        <v>18</v>
      </c>
      <c r="G463" s="5"/>
    </row>
    <row r="464" s="1" customFormat="1" ht="18" customHeight="1" spans="1:7">
      <c r="A464" s="5">
        <v>462</v>
      </c>
      <c r="B464" s="5" t="str">
        <f>"王俊璋"</f>
        <v>王俊璋</v>
      </c>
      <c r="C464" s="5" t="str">
        <f>"70732024102021180732927"</f>
        <v>70732024102021180732927</v>
      </c>
      <c r="D464" s="5" t="str">
        <f t="shared" si="10"/>
        <v>E2024080</v>
      </c>
      <c r="E464" s="5" t="s">
        <v>17</v>
      </c>
      <c r="F464" s="5" t="s">
        <v>18</v>
      </c>
      <c r="G464" s="5"/>
    </row>
    <row r="465" s="1" customFormat="1" ht="18" customHeight="1" spans="1:7">
      <c r="A465" s="5">
        <v>463</v>
      </c>
      <c r="B465" s="5" t="str">
        <f>"田艳玲"</f>
        <v>田艳玲</v>
      </c>
      <c r="C465" s="5" t="str">
        <f>"70732024102114232638219"</f>
        <v>70732024102114232638219</v>
      </c>
      <c r="D465" s="5" t="str">
        <f t="shared" si="10"/>
        <v>E2024080</v>
      </c>
      <c r="E465" s="5" t="s">
        <v>17</v>
      </c>
      <c r="F465" s="5" t="s">
        <v>18</v>
      </c>
      <c r="G465" s="5"/>
    </row>
    <row r="466" s="1" customFormat="1" ht="18" customHeight="1" spans="1:7">
      <c r="A466" s="5">
        <v>464</v>
      </c>
      <c r="B466" s="5" t="str">
        <f>"钱浪"</f>
        <v>钱浪</v>
      </c>
      <c r="C466" s="5" t="str">
        <f>"70732024102117044440218"</f>
        <v>70732024102117044440218</v>
      </c>
      <c r="D466" s="5" t="str">
        <f t="shared" si="10"/>
        <v>E2024080</v>
      </c>
      <c r="E466" s="5" t="s">
        <v>17</v>
      </c>
      <c r="F466" s="5" t="s">
        <v>18</v>
      </c>
      <c r="G466" s="5"/>
    </row>
    <row r="467" s="1" customFormat="1" ht="18" customHeight="1" spans="1:7">
      <c r="A467" s="5">
        <v>465</v>
      </c>
      <c r="B467" s="5" t="str">
        <f>"荀梦"</f>
        <v>荀梦</v>
      </c>
      <c r="C467" s="5" t="str">
        <f>"70732024102119340641477"</f>
        <v>70732024102119340641477</v>
      </c>
      <c r="D467" s="5" t="str">
        <f t="shared" si="10"/>
        <v>E2024080</v>
      </c>
      <c r="E467" s="5" t="s">
        <v>17</v>
      </c>
      <c r="F467" s="5" t="s">
        <v>18</v>
      </c>
      <c r="G467" s="5"/>
    </row>
    <row r="468" s="1" customFormat="1" ht="18" customHeight="1" spans="1:7">
      <c r="A468" s="5">
        <v>466</v>
      </c>
      <c r="B468" s="5" t="str">
        <f>"田家荧"</f>
        <v>田家荧</v>
      </c>
      <c r="C468" s="5" t="str">
        <f>"70732024101921575830239"</f>
        <v>70732024101921575830239</v>
      </c>
      <c r="D468" s="5" t="str">
        <f t="shared" si="10"/>
        <v>E2024080</v>
      </c>
      <c r="E468" s="5" t="s">
        <v>17</v>
      </c>
      <c r="F468" s="5" t="s">
        <v>18</v>
      </c>
      <c r="G468" s="5"/>
    </row>
    <row r="469" s="1" customFormat="1" ht="18" customHeight="1" spans="1:7">
      <c r="A469" s="5">
        <v>467</v>
      </c>
      <c r="B469" s="5" t="str">
        <f>"陈代秋"</f>
        <v>陈代秋</v>
      </c>
      <c r="C469" s="5" t="str">
        <f>"70732024102212381545803"</f>
        <v>70732024102212381545803</v>
      </c>
      <c r="D469" s="5" t="str">
        <f t="shared" si="10"/>
        <v>E2024080</v>
      </c>
      <c r="E469" s="5" t="s">
        <v>17</v>
      </c>
      <c r="F469" s="5" t="s">
        <v>18</v>
      </c>
      <c r="G469" s="5"/>
    </row>
    <row r="470" s="1" customFormat="1" ht="18" customHeight="1" spans="1:7">
      <c r="A470" s="5">
        <v>468</v>
      </c>
      <c r="B470" s="5" t="str">
        <f>"彭烽杰"</f>
        <v>彭烽杰</v>
      </c>
      <c r="C470" s="5" t="str">
        <f>"70732024102219474849007"</f>
        <v>70732024102219474849007</v>
      </c>
      <c r="D470" s="5" t="str">
        <f t="shared" si="10"/>
        <v>E2024080</v>
      </c>
      <c r="E470" s="5" t="s">
        <v>17</v>
      </c>
      <c r="F470" s="5" t="s">
        <v>18</v>
      </c>
      <c r="G470" s="5"/>
    </row>
    <row r="471" s="1" customFormat="1" ht="18" customHeight="1" spans="1:7">
      <c r="A471" s="5">
        <v>469</v>
      </c>
      <c r="B471" s="5" t="str">
        <f>"肖寅"</f>
        <v>肖寅</v>
      </c>
      <c r="C471" s="5" t="str">
        <f>"70732024102314105556310"</f>
        <v>70732024102314105556310</v>
      </c>
      <c r="D471" s="5" t="str">
        <f t="shared" si="10"/>
        <v>E2024080</v>
      </c>
      <c r="E471" s="5" t="s">
        <v>17</v>
      </c>
      <c r="F471" s="5" t="s">
        <v>18</v>
      </c>
      <c r="G471" s="5"/>
    </row>
    <row r="472" s="1" customFormat="1" ht="18" customHeight="1" spans="1:7">
      <c r="A472" s="5">
        <v>470</v>
      </c>
      <c r="B472" s="5" t="str">
        <f>"刘婧"</f>
        <v>刘婧</v>
      </c>
      <c r="C472" s="5" t="str">
        <f>"70732024102314385256648"</f>
        <v>70732024102314385256648</v>
      </c>
      <c r="D472" s="5" t="str">
        <f t="shared" si="10"/>
        <v>E2024080</v>
      </c>
      <c r="E472" s="5" t="s">
        <v>17</v>
      </c>
      <c r="F472" s="5" t="s">
        <v>18</v>
      </c>
      <c r="G472" s="5"/>
    </row>
    <row r="473" s="1" customFormat="1" ht="18" customHeight="1" spans="1:7">
      <c r="A473" s="5">
        <v>471</v>
      </c>
      <c r="B473" s="5" t="str">
        <f>"王绪森"</f>
        <v>王绪森</v>
      </c>
      <c r="C473" s="5" t="str">
        <f>"70732024102214315946524"</f>
        <v>70732024102214315946524</v>
      </c>
      <c r="D473" s="5" t="str">
        <f t="shared" si="10"/>
        <v>E2024080</v>
      </c>
      <c r="E473" s="5" t="s">
        <v>17</v>
      </c>
      <c r="F473" s="5" t="s">
        <v>18</v>
      </c>
      <c r="G473" s="5"/>
    </row>
    <row r="474" s="1" customFormat="1" ht="18" customHeight="1" spans="1:7">
      <c r="A474" s="5">
        <v>472</v>
      </c>
      <c r="B474" s="5" t="str">
        <f>"杨再妮"</f>
        <v>杨再妮</v>
      </c>
      <c r="C474" s="5" t="str">
        <f>"70732024102321454261807"</f>
        <v>70732024102321454261807</v>
      </c>
      <c r="D474" s="5" t="str">
        <f t="shared" si="10"/>
        <v>E2024080</v>
      </c>
      <c r="E474" s="5" t="s">
        <v>17</v>
      </c>
      <c r="F474" s="5" t="s">
        <v>18</v>
      </c>
      <c r="G474" s="5"/>
    </row>
    <row r="475" s="1" customFormat="1" ht="18" customHeight="1" spans="1:7">
      <c r="A475" s="5">
        <v>473</v>
      </c>
      <c r="B475" s="5" t="str">
        <f>"陈智慧"</f>
        <v>陈智慧</v>
      </c>
      <c r="C475" s="5" t="str">
        <f>"70732024102309464152316"</f>
        <v>70732024102309464152316</v>
      </c>
      <c r="D475" s="5" t="str">
        <f t="shared" si="10"/>
        <v>E2024080</v>
      </c>
      <c r="E475" s="5" t="s">
        <v>17</v>
      </c>
      <c r="F475" s="5" t="s">
        <v>18</v>
      </c>
      <c r="G475" s="5"/>
    </row>
    <row r="476" s="1" customFormat="1" ht="18" customHeight="1" spans="1:7">
      <c r="A476" s="5">
        <v>474</v>
      </c>
      <c r="B476" s="5" t="str">
        <f>"冯丽"</f>
        <v>冯丽</v>
      </c>
      <c r="C476" s="5" t="str">
        <f>"70732024101722415121388"</f>
        <v>70732024101722415121388</v>
      </c>
      <c r="D476" s="5" t="str">
        <f t="shared" si="10"/>
        <v>E2024080</v>
      </c>
      <c r="E476" s="5" t="s">
        <v>17</v>
      </c>
      <c r="F476" s="5" t="s">
        <v>18</v>
      </c>
      <c r="G476" s="5"/>
    </row>
    <row r="477" s="1" customFormat="1" ht="18" customHeight="1" spans="1:7">
      <c r="A477" s="5">
        <v>475</v>
      </c>
      <c r="B477" s="5" t="str">
        <f>"刘丹"</f>
        <v>刘丹</v>
      </c>
      <c r="C477" s="5" t="str">
        <f>"70732024102508372573015"</f>
        <v>70732024102508372573015</v>
      </c>
      <c r="D477" s="5" t="str">
        <f t="shared" si="10"/>
        <v>E2024080</v>
      </c>
      <c r="E477" s="5" t="s">
        <v>17</v>
      </c>
      <c r="F477" s="5" t="s">
        <v>18</v>
      </c>
      <c r="G477" s="5"/>
    </row>
    <row r="478" s="1" customFormat="1" ht="18" customHeight="1" spans="1:7">
      <c r="A478" s="5">
        <v>476</v>
      </c>
      <c r="B478" s="5" t="str">
        <f>"朱胜明"</f>
        <v>朱胜明</v>
      </c>
      <c r="C478" s="5" t="str">
        <f>"70732024102515591977368"</f>
        <v>70732024102515591977368</v>
      </c>
      <c r="D478" s="5" t="str">
        <f t="shared" si="10"/>
        <v>E2024080</v>
      </c>
      <c r="E478" s="5" t="s">
        <v>17</v>
      </c>
      <c r="F478" s="5" t="s">
        <v>18</v>
      </c>
      <c r="G478" s="5"/>
    </row>
    <row r="479" s="1" customFormat="1" ht="18" customHeight="1" spans="1:7">
      <c r="A479" s="5">
        <v>477</v>
      </c>
      <c r="B479" s="5" t="str">
        <f>"覃地平"</f>
        <v>覃地平</v>
      </c>
      <c r="C479" s="5" t="str">
        <f>"7073202410122212163062"</f>
        <v>7073202410122212163062</v>
      </c>
      <c r="D479" s="5" t="str">
        <f t="shared" ref="D479:D481" si="11">"E2024084"</f>
        <v>E2024084</v>
      </c>
      <c r="E479" s="5" t="s">
        <v>19</v>
      </c>
      <c r="F479" s="5" t="s">
        <v>20</v>
      </c>
      <c r="G479" s="5"/>
    </row>
    <row r="480" s="1" customFormat="1" ht="18" customHeight="1" spans="1:7">
      <c r="A480" s="5">
        <v>478</v>
      </c>
      <c r="B480" s="5" t="str">
        <f>"黄垚鑫"</f>
        <v>黄垚鑫</v>
      </c>
      <c r="C480" s="5" t="str">
        <f>"7073202410131726353636"</f>
        <v>7073202410131726353636</v>
      </c>
      <c r="D480" s="5" t="str">
        <f t="shared" si="11"/>
        <v>E2024084</v>
      </c>
      <c r="E480" s="5" t="s">
        <v>19</v>
      </c>
      <c r="F480" s="5" t="s">
        <v>20</v>
      </c>
      <c r="G480" s="5"/>
    </row>
    <row r="481" s="1" customFormat="1" ht="18" customHeight="1" spans="1:7">
      <c r="A481" s="5">
        <v>479</v>
      </c>
      <c r="B481" s="5" t="str">
        <f>"夏璐"</f>
        <v>夏璐</v>
      </c>
      <c r="C481" s="5" t="str">
        <f>"70732024102310242053159"</f>
        <v>70732024102310242053159</v>
      </c>
      <c r="D481" s="5" t="str">
        <f t="shared" si="11"/>
        <v>E2024084</v>
      </c>
      <c r="E481" s="5" t="s">
        <v>19</v>
      </c>
      <c r="F481" s="5" t="s">
        <v>20</v>
      </c>
      <c r="G481" s="5"/>
    </row>
    <row r="482" s="1" customFormat="1" ht="18" customHeight="1" spans="1:7">
      <c r="A482" s="5">
        <v>480</v>
      </c>
      <c r="B482" s="5" t="str">
        <f>"何 超"</f>
        <v>何 超</v>
      </c>
      <c r="C482" s="5" t="str">
        <f>"7073202410121017321792"</f>
        <v>7073202410121017321792</v>
      </c>
      <c r="D482" s="5" t="str">
        <f t="shared" ref="D482:D492" si="12">"E2024086"</f>
        <v>E2024086</v>
      </c>
      <c r="E482" s="5" t="s">
        <v>21</v>
      </c>
      <c r="F482" s="5" t="s">
        <v>22</v>
      </c>
      <c r="G482" s="5"/>
    </row>
    <row r="483" s="1" customFormat="1" ht="18" customHeight="1" spans="1:7">
      <c r="A483" s="5">
        <v>481</v>
      </c>
      <c r="B483" s="5" t="str">
        <f>"王滢杰"</f>
        <v>王滢杰</v>
      </c>
      <c r="C483" s="5" t="str">
        <f>"7073202410121146502082"</f>
        <v>7073202410121146502082</v>
      </c>
      <c r="D483" s="5" t="str">
        <f t="shared" si="12"/>
        <v>E2024086</v>
      </c>
      <c r="E483" s="5" t="s">
        <v>21</v>
      </c>
      <c r="F483" s="5" t="s">
        <v>22</v>
      </c>
      <c r="G483" s="5"/>
    </row>
    <row r="484" s="1" customFormat="1" ht="18" customHeight="1" spans="1:7">
      <c r="A484" s="5">
        <v>482</v>
      </c>
      <c r="B484" s="5" t="str">
        <f>"刘璇"</f>
        <v>刘璇</v>
      </c>
      <c r="C484" s="5" t="str">
        <f>"7073202410121750012770"</f>
        <v>7073202410121750012770</v>
      </c>
      <c r="D484" s="5" t="str">
        <f t="shared" si="12"/>
        <v>E2024086</v>
      </c>
      <c r="E484" s="5" t="s">
        <v>21</v>
      </c>
      <c r="F484" s="5" t="s">
        <v>22</v>
      </c>
      <c r="G484" s="5"/>
    </row>
    <row r="485" s="1" customFormat="1" ht="18" customHeight="1" spans="1:7">
      <c r="A485" s="5">
        <v>483</v>
      </c>
      <c r="B485" s="5" t="str">
        <f>"董明洲"</f>
        <v>董明洲</v>
      </c>
      <c r="C485" s="5" t="str">
        <f>"70732024102017201632140"</f>
        <v>70732024102017201632140</v>
      </c>
      <c r="D485" s="5" t="str">
        <f t="shared" si="12"/>
        <v>E2024086</v>
      </c>
      <c r="E485" s="5" t="s">
        <v>21</v>
      </c>
      <c r="F485" s="5" t="s">
        <v>22</v>
      </c>
      <c r="G485" s="5"/>
    </row>
    <row r="486" s="1" customFormat="1" ht="18" customHeight="1" spans="1:7">
      <c r="A486" s="5">
        <v>484</v>
      </c>
      <c r="B486" s="5" t="str">
        <f>"周念"</f>
        <v>周念</v>
      </c>
      <c r="C486" s="5" t="str">
        <f>"7073202410141451075295"</f>
        <v>7073202410141451075295</v>
      </c>
      <c r="D486" s="5" t="str">
        <f t="shared" si="12"/>
        <v>E2024086</v>
      </c>
      <c r="E486" s="5" t="s">
        <v>21</v>
      </c>
      <c r="F486" s="5" t="s">
        <v>22</v>
      </c>
      <c r="G486" s="5"/>
    </row>
    <row r="487" s="1" customFormat="1" ht="18" customHeight="1" spans="1:7">
      <c r="A487" s="5">
        <v>485</v>
      </c>
      <c r="B487" s="5" t="str">
        <f>"覃雯"</f>
        <v>覃雯</v>
      </c>
      <c r="C487" s="5" t="str">
        <f>"70732024102113274237714"</f>
        <v>70732024102113274237714</v>
      </c>
      <c r="D487" s="5" t="str">
        <f t="shared" si="12"/>
        <v>E2024086</v>
      </c>
      <c r="E487" s="5" t="s">
        <v>21</v>
      </c>
      <c r="F487" s="5" t="s">
        <v>22</v>
      </c>
      <c r="G487" s="5"/>
    </row>
    <row r="488" s="1" customFormat="1" ht="18" customHeight="1" spans="1:7">
      <c r="A488" s="5">
        <v>486</v>
      </c>
      <c r="B488" s="5" t="str">
        <f>"张友格"</f>
        <v>张友格</v>
      </c>
      <c r="C488" s="5" t="str">
        <f>"7073202410140910534094"</f>
        <v>7073202410140910534094</v>
      </c>
      <c r="D488" s="5" t="str">
        <f t="shared" si="12"/>
        <v>E2024086</v>
      </c>
      <c r="E488" s="5" t="s">
        <v>21</v>
      </c>
      <c r="F488" s="5" t="s">
        <v>22</v>
      </c>
      <c r="G488" s="5"/>
    </row>
    <row r="489" s="1" customFormat="1" ht="18" customHeight="1" spans="1:7">
      <c r="A489" s="5">
        <v>487</v>
      </c>
      <c r="B489" s="5" t="str">
        <f>"易宗琦"</f>
        <v>易宗琦</v>
      </c>
      <c r="C489" s="5" t="str">
        <f>"7073202410140940044272"</f>
        <v>7073202410140940044272</v>
      </c>
      <c r="D489" s="5" t="str">
        <f t="shared" si="12"/>
        <v>E2024086</v>
      </c>
      <c r="E489" s="5" t="s">
        <v>21</v>
      </c>
      <c r="F489" s="5" t="s">
        <v>22</v>
      </c>
      <c r="G489" s="5"/>
    </row>
    <row r="490" s="1" customFormat="1" ht="18" customHeight="1" spans="1:7">
      <c r="A490" s="5">
        <v>488</v>
      </c>
      <c r="B490" s="5" t="str">
        <f>"申启毕"</f>
        <v>申启毕</v>
      </c>
      <c r="C490" s="5" t="str">
        <f>"70732024102322401362389"</f>
        <v>70732024102322401362389</v>
      </c>
      <c r="D490" s="5" t="str">
        <f t="shared" si="12"/>
        <v>E2024086</v>
      </c>
      <c r="E490" s="5" t="s">
        <v>21</v>
      </c>
      <c r="F490" s="5" t="s">
        <v>22</v>
      </c>
      <c r="G490" s="5"/>
    </row>
    <row r="491" s="1" customFormat="1" ht="18" customHeight="1" spans="1:7">
      <c r="A491" s="5">
        <v>489</v>
      </c>
      <c r="B491" s="5" t="str">
        <f>"周佳"</f>
        <v>周佳</v>
      </c>
      <c r="C491" s="5" t="str">
        <f>"70732024102209371544015"</f>
        <v>70732024102209371544015</v>
      </c>
      <c r="D491" s="5" t="str">
        <f t="shared" si="12"/>
        <v>E2024086</v>
      </c>
      <c r="E491" s="5" t="s">
        <v>21</v>
      </c>
      <c r="F491" s="5" t="s">
        <v>22</v>
      </c>
      <c r="G491" s="5"/>
    </row>
    <row r="492" s="1" customFormat="1" ht="18" customHeight="1" spans="1:7">
      <c r="A492" s="5">
        <v>490</v>
      </c>
      <c r="B492" s="5" t="str">
        <f>"熊沐丹"</f>
        <v>熊沐丹</v>
      </c>
      <c r="C492" s="5" t="str">
        <f>"70732024102418132069664"</f>
        <v>70732024102418132069664</v>
      </c>
      <c r="D492" s="5" t="str">
        <f t="shared" si="12"/>
        <v>E2024086</v>
      </c>
      <c r="E492" s="5" t="s">
        <v>21</v>
      </c>
      <c r="F492" s="5" t="s">
        <v>22</v>
      </c>
      <c r="G492" s="5"/>
    </row>
    <row r="493" s="1" customFormat="1" ht="18" customHeight="1" spans="1:7">
      <c r="A493" s="5">
        <v>491</v>
      </c>
      <c r="B493" s="5" t="str">
        <f>"向君仪"</f>
        <v>向君仪</v>
      </c>
      <c r="C493" s="5" t="str">
        <f>"7073202410120901481472"</f>
        <v>7073202410120901481472</v>
      </c>
      <c r="D493" s="5" t="str">
        <f t="shared" ref="D493:D556" si="13">"E2024090"</f>
        <v>E2024090</v>
      </c>
      <c r="E493" s="5" t="s">
        <v>23</v>
      </c>
      <c r="F493" s="5" t="s">
        <v>24</v>
      </c>
      <c r="G493" s="5"/>
    </row>
    <row r="494" s="1" customFormat="1" ht="18" customHeight="1" spans="1:7">
      <c r="A494" s="5">
        <v>492</v>
      </c>
      <c r="B494" s="5" t="str">
        <f>"李琴"</f>
        <v>李琴</v>
      </c>
      <c r="C494" s="5" t="str">
        <f>"7073202410121014161787"</f>
        <v>7073202410121014161787</v>
      </c>
      <c r="D494" s="5" t="str">
        <f t="shared" si="13"/>
        <v>E2024090</v>
      </c>
      <c r="E494" s="5" t="s">
        <v>23</v>
      </c>
      <c r="F494" s="5" t="s">
        <v>24</v>
      </c>
      <c r="G494" s="5"/>
    </row>
    <row r="495" s="1" customFormat="1" ht="18" customHeight="1" spans="1:7">
      <c r="A495" s="5">
        <v>493</v>
      </c>
      <c r="B495" s="5" t="str">
        <f>"张小东"</f>
        <v>张小东</v>
      </c>
      <c r="C495" s="5" t="str">
        <f>"7073202410121033371849"</f>
        <v>7073202410121033371849</v>
      </c>
      <c r="D495" s="5" t="str">
        <f t="shared" si="13"/>
        <v>E2024090</v>
      </c>
      <c r="E495" s="5" t="s">
        <v>23</v>
      </c>
      <c r="F495" s="5" t="s">
        <v>24</v>
      </c>
      <c r="G495" s="5"/>
    </row>
    <row r="496" s="1" customFormat="1" ht="18" customHeight="1" spans="1:7">
      <c r="A496" s="5">
        <v>494</v>
      </c>
      <c r="B496" s="5" t="str">
        <f>"吴洁"</f>
        <v>吴洁</v>
      </c>
      <c r="C496" s="5" t="str">
        <f>"7073202410121147142084"</f>
        <v>7073202410121147142084</v>
      </c>
      <c r="D496" s="5" t="str">
        <f t="shared" si="13"/>
        <v>E2024090</v>
      </c>
      <c r="E496" s="5" t="s">
        <v>23</v>
      </c>
      <c r="F496" s="5" t="s">
        <v>24</v>
      </c>
      <c r="G496" s="5"/>
    </row>
    <row r="497" s="1" customFormat="1" ht="18" customHeight="1" spans="1:7">
      <c r="A497" s="5">
        <v>495</v>
      </c>
      <c r="B497" s="5" t="str">
        <f>"熊峰"</f>
        <v>熊峰</v>
      </c>
      <c r="C497" s="5" t="str">
        <f>"7073202410121226162168"</f>
        <v>7073202410121226162168</v>
      </c>
      <c r="D497" s="5" t="str">
        <f t="shared" si="13"/>
        <v>E2024090</v>
      </c>
      <c r="E497" s="5" t="s">
        <v>23</v>
      </c>
      <c r="F497" s="5" t="s">
        <v>24</v>
      </c>
      <c r="G497" s="5"/>
    </row>
    <row r="498" s="1" customFormat="1" ht="18" customHeight="1" spans="1:7">
      <c r="A498" s="5">
        <v>496</v>
      </c>
      <c r="B498" s="5" t="str">
        <f>"陶庆师"</f>
        <v>陶庆师</v>
      </c>
      <c r="C498" s="5" t="str">
        <f>"7073202410121212342142"</f>
        <v>7073202410121212342142</v>
      </c>
      <c r="D498" s="5" t="str">
        <f t="shared" si="13"/>
        <v>E2024090</v>
      </c>
      <c r="E498" s="5" t="s">
        <v>23</v>
      </c>
      <c r="F498" s="5" t="s">
        <v>24</v>
      </c>
      <c r="G498" s="5"/>
    </row>
    <row r="499" s="1" customFormat="1" ht="18" customHeight="1" spans="1:7">
      <c r="A499" s="5">
        <v>497</v>
      </c>
      <c r="B499" s="5" t="str">
        <f>"姚玲"</f>
        <v>姚玲</v>
      </c>
      <c r="C499" s="5" t="str">
        <f>"7073202410121145052076"</f>
        <v>7073202410121145052076</v>
      </c>
      <c r="D499" s="5" t="str">
        <f t="shared" si="13"/>
        <v>E2024090</v>
      </c>
      <c r="E499" s="5" t="s">
        <v>23</v>
      </c>
      <c r="F499" s="5" t="s">
        <v>24</v>
      </c>
      <c r="G499" s="5"/>
    </row>
    <row r="500" s="1" customFormat="1" ht="18" customHeight="1" spans="1:7">
      <c r="A500" s="5">
        <v>498</v>
      </c>
      <c r="B500" s="5" t="str">
        <f>"张明珠"</f>
        <v>张明珠</v>
      </c>
      <c r="C500" s="5" t="str">
        <f>"7073202410121506452468"</f>
        <v>7073202410121506452468</v>
      </c>
      <c r="D500" s="5" t="str">
        <f t="shared" si="13"/>
        <v>E2024090</v>
      </c>
      <c r="E500" s="5" t="s">
        <v>23</v>
      </c>
      <c r="F500" s="5" t="s">
        <v>24</v>
      </c>
      <c r="G500" s="5"/>
    </row>
    <row r="501" s="1" customFormat="1" ht="18" customHeight="1" spans="1:7">
      <c r="A501" s="5">
        <v>499</v>
      </c>
      <c r="B501" s="5" t="str">
        <f>"邓家琪"</f>
        <v>邓家琪</v>
      </c>
      <c r="C501" s="5" t="str">
        <f>"7073202410121715192727"</f>
        <v>7073202410121715192727</v>
      </c>
      <c r="D501" s="5" t="str">
        <f t="shared" si="13"/>
        <v>E2024090</v>
      </c>
      <c r="E501" s="5" t="s">
        <v>23</v>
      </c>
      <c r="F501" s="5" t="s">
        <v>24</v>
      </c>
      <c r="G501" s="5"/>
    </row>
    <row r="502" s="1" customFormat="1" ht="18" customHeight="1" spans="1:7">
      <c r="A502" s="5">
        <v>500</v>
      </c>
      <c r="B502" s="5" t="str">
        <f>"张镡予"</f>
        <v>张镡予</v>
      </c>
      <c r="C502" s="5" t="str">
        <f>"7073202410121926592887"</f>
        <v>7073202410121926592887</v>
      </c>
      <c r="D502" s="5" t="str">
        <f t="shared" si="13"/>
        <v>E2024090</v>
      </c>
      <c r="E502" s="5" t="s">
        <v>23</v>
      </c>
      <c r="F502" s="5" t="s">
        <v>24</v>
      </c>
      <c r="G502" s="5"/>
    </row>
    <row r="503" s="1" customFormat="1" ht="18" customHeight="1" spans="1:7">
      <c r="A503" s="5">
        <v>501</v>
      </c>
      <c r="B503" s="5" t="str">
        <f>"郭俊"</f>
        <v>郭俊</v>
      </c>
      <c r="C503" s="5" t="str">
        <f>"7073202410122113393004"</f>
        <v>7073202410122113393004</v>
      </c>
      <c r="D503" s="5" t="str">
        <f t="shared" si="13"/>
        <v>E2024090</v>
      </c>
      <c r="E503" s="5" t="s">
        <v>23</v>
      </c>
      <c r="F503" s="5" t="s">
        <v>24</v>
      </c>
      <c r="G503" s="5"/>
    </row>
    <row r="504" s="1" customFormat="1" ht="18" customHeight="1" spans="1:7">
      <c r="A504" s="5">
        <v>502</v>
      </c>
      <c r="B504" s="5" t="str">
        <f>"肖云帅"</f>
        <v>肖云帅</v>
      </c>
      <c r="C504" s="5" t="str">
        <f>"7073202410122036052965"</f>
        <v>7073202410122036052965</v>
      </c>
      <c r="D504" s="5" t="str">
        <f t="shared" si="13"/>
        <v>E2024090</v>
      </c>
      <c r="E504" s="5" t="s">
        <v>23</v>
      </c>
      <c r="F504" s="5" t="s">
        <v>24</v>
      </c>
      <c r="G504" s="5"/>
    </row>
    <row r="505" s="1" customFormat="1" ht="18" customHeight="1" spans="1:7">
      <c r="A505" s="5">
        <v>503</v>
      </c>
      <c r="B505" s="5" t="str">
        <f>"程国峰"</f>
        <v>程国峰</v>
      </c>
      <c r="C505" s="5" t="str">
        <f>"7073202410131151323324"</f>
        <v>7073202410131151323324</v>
      </c>
      <c r="D505" s="5" t="str">
        <f t="shared" si="13"/>
        <v>E2024090</v>
      </c>
      <c r="E505" s="5" t="s">
        <v>23</v>
      </c>
      <c r="F505" s="5" t="s">
        <v>24</v>
      </c>
      <c r="G505" s="5"/>
    </row>
    <row r="506" s="1" customFormat="1" ht="18" customHeight="1" spans="1:7">
      <c r="A506" s="5">
        <v>504</v>
      </c>
      <c r="B506" s="5" t="str">
        <f>"高银蔓"</f>
        <v>高银蔓</v>
      </c>
      <c r="C506" s="5" t="str">
        <f>"7073202410131302383391"</f>
        <v>7073202410131302383391</v>
      </c>
      <c r="D506" s="5" t="str">
        <f t="shared" si="13"/>
        <v>E2024090</v>
      </c>
      <c r="E506" s="5" t="s">
        <v>23</v>
      </c>
      <c r="F506" s="5" t="s">
        <v>24</v>
      </c>
      <c r="G506" s="5"/>
    </row>
    <row r="507" s="1" customFormat="1" ht="18" customHeight="1" spans="1:7">
      <c r="A507" s="5">
        <v>505</v>
      </c>
      <c r="B507" s="5" t="str">
        <f>"廖燕铌"</f>
        <v>廖燕铌</v>
      </c>
      <c r="C507" s="5" t="str">
        <f>"7073202410131329343410"</f>
        <v>7073202410131329343410</v>
      </c>
      <c r="D507" s="5" t="str">
        <f t="shared" si="13"/>
        <v>E2024090</v>
      </c>
      <c r="E507" s="5" t="s">
        <v>23</v>
      </c>
      <c r="F507" s="5" t="s">
        <v>24</v>
      </c>
      <c r="G507" s="5"/>
    </row>
    <row r="508" s="1" customFormat="1" ht="18" customHeight="1" spans="1:7">
      <c r="A508" s="5">
        <v>506</v>
      </c>
      <c r="B508" s="5" t="str">
        <f>"柯思羽"</f>
        <v>柯思羽</v>
      </c>
      <c r="C508" s="5" t="str">
        <f>"7073202410131513403508"</f>
        <v>7073202410131513403508</v>
      </c>
      <c r="D508" s="5" t="str">
        <f t="shared" si="13"/>
        <v>E2024090</v>
      </c>
      <c r="E508" s="5" t="s">
        <v>23</v>
      </c>
      <c r="F508" s="5" t="s">
        <v>24</v>
      </c>
      <c r="G508" s="5"/>
    </row>
    <row r="509" s="1" customFormat="1" ht="18" customHeight="1" spans="1:7">
      <c r="A509" s="5">
        <v>507</v>
      </c>
      <c r="B509" s="5" t="str">
        <f>"向奥莉"</f>
        <v>向奥莉</v>
      </c>
      <c r="C509" s="5" t="str">
        <f>"7073202410131810293663"</f>
        <v>7073202410131810293663</v>
      </c>
      <c r="D509" s="5" t="str">
        <f t="shared" si="13"/>
        <v>E2024090</v>
      </c>
      <c r="E509" s="5" t="s">
        <v>23</v>
      </c>
      <c r="F509" s="5" t="s">
        <v>24</v>
      </c>
      <c r="G509" s="5"/>
    </row>
    <row r="510" s="1" customFormat="1" ht="18" customHeight="1" spans="1:7">
      <c r="A510" s="5">
        <v>508</v>
      </c>
      <c r="B510" s="5" t="str">
        <f>"隆敏"</f>
        <v>隆敏</v>
      </c>
      <c r="C510" s="5" t="str">
        <f>"7073202410132007063771"</f>
        <v>7073202410132007063771</v>
      </c>
      <c r="D510" s="5" t="str">
        <f t="shared" si="13"/>
        <v>E2024090</v>
      </c>
      <c r="E510" s="5" t="s">
        <v>23</v>
      </c>
      <c r="F510" s="5" t="s">
        <v>24</v>
      </c>
      <c r="G510" s="5"/>
    </row>
    <row r="511" s="1" customFormat="1" ht="18" customHeight="1" spans="1:7">
      <c r="A511" s="5">
        <v>509</v>
      </c>
      <c r="B511" s="5" t="str">
        <f>"陈希"</f>
        <v>陈希</v>
      </c>
      <c r="C511" s="5" t="str">
        <f>"7073202410132129273844"</f>
        <v>7073202410132129273844</v>
      </c>
      <c r="D511" s="5" t="str">
        <f t="shared" si="13"/>
        <v>E2024090</v>
      </c>
      <c r="E511" s="5" t="s">
        <v>23</v>
      </c>
      <c r="F511" s="5" t="s">
        <v>24</v>
      </c>
      <c r="G511" s="5"/>
    </row>
    <row r="512" s="1" customFormat="1" ht="18" customHeight="1" spans="1:7">
      <c r="A512" s="5">
        <v>510</v>
      </c>
      <c r="B512" s="5" t="str">
        <f>"张海南"</f>
        <v>张海南</v>
      </c>
      <c r="C512" s="5" t="str">
        <f>"7073202410132052503806"</f>
        <v>7073202410132052503806</v>
      </c>
      <c r="D512" s="5" t="str">
        <f t="shared" si="13"/>
        <v>E2024090</v>
      </c>
      <c r="E512" s="5" t="s">
        <v>23</v>
      </c>
      <c r="F512" s="5" t="s">
        <v>24</v>
      </c>
      <c r="G512" s="5"/>
    </row>
    <row r="513" s="1" customFormat="1" ht="18" customHeight="1" spans="1:7">
      <c r="A513" s="5">
        <v>511</v>
      </c>
      <c r="B513" s="5" t="str">
        <f>"姚埴"</f>
        <v>姚埴</v>
      </c>
      <c r="C513" s="5" t="str">
        <f>"7073202410140924264175"</f>
        <v>7073202410140924264175</v>
      </c>
      <c r="D513" s="5" t="str">
        <f t="shared" si="13"/>
        <v>E2024090</v>
      </c>
      <c r="E513" s="5" t="s">
        <v>23</v>
      </c>
      <c r="F513" s="5" t="s">
        <v>24</v>
      </c>
      <c r="G513" s="5"/>
    </row>
    <row r="514" s="1" customFormat="1" ht="18" customHeight="1" spans="1:7">
      <c r="A514" s="5">
        <v>512</v>
      </c>
      <c r="B514" s="5" t="str">
        <f>"冉丽"</f>
        <v>冉丽</v>
      </c>
      <c r="C514" s="5" t="str">
        <f>"7073202410140927124192"</f>
        <v>7073202410140927124192</v>
      </c>
      <c r="D514" s="5" t="str">
        <f t="shared" si="13"/>
        <v>E2024090</v>
      </c>
      <c r="E514" s="5" t="s">
        <v>23</v>
      </c>
      <c r="F514" s="5" t="s">
        <v>24</v>
      </c>
      <c r="G514" s="5"/>
    </row>
    <row r="515" s="1" customFormat="1" ht="18" customHeight="1" spans="1:7">
      <c r="A515" s="5">
        <v>513</v>
      </c>
      <c r="B515" s="5" t="str">
        <f>"李默然"</f>
        <v>李默然</v>
      </c>
      <c r="C515" s="5" t="str">
        <f>"7073202410141923265955"</f>
        <v>7073202410141923265955</v>
      </c>
      <c r="D515" s="5" t="str">
        <f t="shared" si="13"/>
        <v>E2024090</v>
      </c>
      <c r="E515" s="5" t="s">
        <v>23</v>
      </c>
      <c r="F515" s="5" t="s">
        <v>24</v>
      </c>
      <c r="G515" s="5"/>
    </row>
    <row r="516" s="1" customFormat="1" ht="18" customHeight="1" spans="1:7">
      <c r="A516" s="5">
        <v>514</v>
      </c>
      <c r="B516" s="5" t="str">
        <f>"黄晨"</f>
        <v>黄晨</v>
      </c>
      <c r="C516" s="5" t="str">
        <f>"7073202410142049326124"</f>
        <v>7073202410142049326124</v>
      </c>
      <c r="D516" s="5" t="str">
        <f t="shared" si="13"/>
        <v>E2024090</v>
      </c>
      <c r="E516" s="5" t="s">
        <v>23</v>
      </c>
      <c r="F516" s="5" t="s">
        <v>24</v>
      </c>
      <c r="G516" s="5"/>
    </row>
    <row r="517" s="1" customFormat="1" ht="18" customHeight="1" spans="1:7">
      <c r="A517" s="5">
        <v>515</v>
      </c>
      <c r="B517" s="5" t="str">
        <f>"雷双庆"</f>
        <v>雷双庆</v>
      </c>
      <c r="C517" s="5" t="str">
        <f>"7073202410140846393983"</f>
        <v>7073202410140846393983</v>
      </c>
      <c r="D517" s="5" t="str">
        <f t="shared" si="13"/>
        <v>E2024090</v>
      </c>
      <c r="E517" s="5" t="s">
        <v>23</v>
      </c>
      <c r="F517" s="5" t="s">
        <v>24</v>
      </c>
      <c r="G517" s="5"/>
    </row>
    <row r="518" s="1" customFormat="1" ht="18" customHeight="1" spans="1:7">
      <c r="A518" s="5">
        <v>516</v>
      </c>
      <c r="B518" s="5" t="str">
        <f>"吴东钊"</f>
        <v>吴东钊</v>
      </c>
      <c r="C518" s="5" t="str">
        <f>"7073202410121017551795"</f>
        <v>7073202410121017551795</v>
      </c>
      <c r="D518" s="5" t="str">
        <f t="shared" si="13"/>
        <v>E2024090</v>
      </c>
      <c r="E518" s="5" t="s">
        <v>23</v>
      </c>
      <c r="F518" s="5" t="s">
        <v>24</v>
      </c>
      <c r="G518" s="5"/>
    </row>
    <row r="519" s="1" customFormat="1" ht="18" customHeight="1" spans="1:7">
      <c r="A519" s="5">
        <v>517</v>
      </c>
      <c r="B519" s="5" t="str">
        <f>"李波"</f>
        <v>李波</v>
      </c>
      <c r="C519" s="5" t="str">
        <f>"7073202410151021057145"</f>
        <v>7073202410151021057145</v>
      </c>
      <c r="D519" s="5" t="str">
        <f t="shared" si="13"/>
        <v>E2024090</v>
      </c>
      <c r="E519" s="5" t="s">
        <v>23</v>
      </c>
      <c r="F519" s="5" t="s">
        <v>24</v>
      </c>
      <c r="G519" s="5"/>
    </row>
    <row r="520" s="1" customFormat="1" ht="18" customHeight="1" spans="1:7">
      <c r="A520" s="5">
        <v>518</v>
      </c>
      <c r="B520" s="5" t="str">
        <f>"陈为思"</f>
        <v>陈为思</v>
      </c>
      <c r="C520" s="5" t="str">
        <f>"7073202410151115447495"</f>
        <v>7073202410151115447495</v>
      </c>
      <c r="D520" s="5" t="str">
        <f t="shared" si="13"/>
        <v>E2024090</v>
      </c>
      <c r="E520" s="5" t="s">
        <v>23</v>
      </c>
      <c r="F520" s="5" t="s">
        <v>24</v>
      </c>
      <c r="G520" s="5"/>
    </row>
    <row r="521" s="1" customFormat="1" ht="18" customHeight="1" spans="1:7">
      <c r="A521" s="5">
        <v>519</v>
      </c>
      <c r="B521" s="5" t="str">
        <f>"刘春辉"</f>
        <v>刘春辉</v>
      </c>
      <c r="C521" s="5" t="str">
        <f>"7073202410151638118815"</f>
        <v>7073202410151638118815</v>
      </c>
      <c r="D521" s="5" t="str">
        <f t="shared" si="13"/>
        <v>E2024090</v>
      </c>
      <c r="E521" s="5" t="s">
        <v>23</v>
      </c>
      <c r="F521" s="5" t="s">
        <v>24</v>
      </c>
      <c r="G521" s="5"/>
    </row>
    <row r="522" s="1" customFormat="1" ht="18" customHeight="1" spans="1:7">
      <c r="A522" s="5">
        <v>520</v>
      </c>
      <c r="B522" s="5" t="str">
        <f>"吴牮良"</f>
        <v>吴牮良</v>
      </c>
      <c r="C522" s="5" t="str">
        <f>"7073202410151707188925"</f>
        <v>7073202410151707188925</v>
      </c>
      <c r="D522" s="5" t="str">
        <f t="shared" si="13"/>
        <v>E2024090</v>
      </c>
      <c r="E522" s="5" t="s">
        <v>23</v>
      </c>
      <c r="F522" s="5" t="s">
        <v>24</v>
      </c>
      <c r="G522" s="5"/>
    </row>
    <row r="523" s="1" customFormat="1" ht="18" customHeight="1" spans="1:7">
      <c r="A523" s="5">
        <v>521</v>
      </c>
      <c r="B523" s="5" t="str">
        <f>"陈晓凤"</f>
        <v>陈晓凤</v>
      </c>
      <c r="C523" s="5" t="str">
        <f>"7073202410121554022568"</f>
        <v>7073202410121554022568</v>
      </c>
      <c r="D523" s="5" t="str">
        <f t="shared" si="13"/>
        <v>E2024090</v>
      </c>
      <c r="E523" s="5" t="s">
        <v>23</v>
      </c>
      <c r="F523" s="5" t="s">
        <v>24</v>
      </c>
      <c r="G523" s="5"/>
    </row>
    <row r="524" s="1" customFormat="1" ht="18" customHeight="1" spans="1:7">
      <c r="A524" s="5">
        <v>522</v>
      </c>
      <c r="B524" s="5" t="str">
        <f>"覃沁"</f>
        <v>覃沁</v>
      </c>
      <c r="C524" s="5" t="str">
        <f>"70732024101521490210081"</f>
        <v>70732024101521490210081</v>
      </c>
      <c r="D524" s="5" t="str">
        <f t="shared" si="13"/>
        <v>E2024090</v>
      </c>
      <c r="E524" s="5" t="s">
        <v>23</v>
      </c>
      <c r="F524" s="5" t="s">
        <v>24</v>
      </c>
      <c r="G524" s="5"/>
    </row>
    <row r="525" s="1" customFormat="1" ht="18" customHeight="1" spans="1:7">
      <c r="A525" s="5">
        <v>523</v>
      </c>
      <c r="B525" s="5" t="str">
        <f>"鄢翠玲"</f>
        <v>鄢翠玲</v>
      </c>
      <c r="C525" s="5" t="str">
        <f>"7073202410121044231883"</f>
        <v>7073202410121044231883</v>
      </c>
      <c r="D525" s="5" t="str">
        <f t="shared" si="13"/>
        <v>E2024090</v>
      </c>
      <c r="E525" s="5" t="s">
        <v>23</v>
      </c>
      <c r="F525" s="5" t="s">
        <v>24</v>
      </c>
      <c r="G525" s="5"/>
    </row>
    <row r="526" s="1" customFormat="1" ht="18" customHeight="1" spans="1:7">
      <c r="A526" s="5">
        <v>524</v>
      </c>
      <c r="B526" s="5" t="str">
        <f>"贾志宏"</f>
        <v>贾志宏</v>
      </c>
      <c r="C526" s="5" t="str">
        <f>"70732024101610073511227"</f>
        <v>70732024101610073511227</v>
      </c>
      <c r="D526" s="5" t="str">
        <f t="shared" si="13"/>
        <v>E2024090</v>
      </c>
      <c r="E526" s="5" t="s">
        <v>23</v>
      </c>
      <c r="F526" s="5" t="s">
        <v>24</v>
      </c>
      <c r="G526" s="5"/>
    </row>
    <row r="527" s="1" customFormat="1" ht="18" customHeight="1" spans="1:7">
      <c r="A527" s="5">
        <v>525</v>
      </c>
      <c r="B527" s="5" t="str">
        <f>"秦子钧"</f>
        <v>秦子钧</v>
      </c>
      <c r="C527" s="5" t="str">
        <f>"70732024101611522111867"</f>
        <v>70732024101611522111867</v>
      </c>
      <c r="D527" s="5" t="str">
        <f t="shared" si="13"/>
        <v>E2024090</v>
      </c>
      <c r="E527" s="5" t="s">
        <v>23</v>
      </c>
      <c r="F527" s="5" t="s">
        <v>24</v>
      </c>
      <c r="G527" s="5"/>
    </row>
    <row r="528" s="1" customFormat="1" ht="18" customHeight="1" spans="1:7">
      <c r="A528" s="5">
        <v>526</v>
      </c>
      <c r="B528" s="5" t="str">
        <f>"陈嘉新"</f>
        <v>陈嘉新</v>
      </c>
      <c r="C528" s="5" t="str">
        <f>"70732024101610374511432"</f>
        <v>70732024101610374511432</v>
      </c>
      <c r="D528" s="5" t="str">
        <f t="shared" si="13"/>
        <v>E2024090</v>
      </c>
      <c r="E528" s="5" t="s">
        <v>23</v>
      </c>
      <c r="F528" s="5" t="s">
        <v>24</v>
      </c>
      <c r="G528" s="5"/>
    </row>
    <row r="529" s="1" customFormat="1" ht="18" customHeight="1" spans="1:7">
      <c r="A529" s="5">
        <v>527</v>
      </c>
      <c r="B529" s="5" t="str">
        <f>"周显日业"</f>
        <v>周显日业</v>
      </c>
      <c r="C529" s="5" t="str">
        <f>"70732024101622364815087"</f>
        <v>70732024101622364815087</v>
      </c>
      <c r="D529" s="5" t="str">
        <f t="shared" si="13"/>
        <v>E2024090</v>
      </c>
      <c r="E529" s="5" t="s">
        <v>23</v>
      </c>
      <c r="F529" s="5" t="s">
        <v>24</v>
      </c>
      <c r="G529" s="5"/>
    </row>
    <row r="530" s="1" customFormat="1" ht="18" customHeight="1" spans="1:7">
      <c r="A530" s="5">
        <v>528</v>
      </c>
      <c r="B530" s="5" t="str">
        <f>"刘妍君"</f>
        <v>刘妍君</v>
      </c>
      <c r="C530" s="5" t="str">
        <f>"70732024101713250417675"</f>
        <v>70732024101713250417675</v>
      </c>
      <c r="D530" s="5" t="str">
        <f t="shared" si="13"/>
        <v>E2024090</v>
      </c>
      <c r="E530" s="5" t="s">
        <v>23</v>
      </c>
      <c r="F530" s="5" t="s">
        <v>24</v>
      </c>
      <c r="G530" s="5"/>
    </row>
    <row r="531" s="1" customFormat="1" ht="18" customHeight="1" spans="1:7">
      <c r="A531" s="5">
        <v>529</v>
      </c>
      <c r="B531" s="5" t="str">
        <f>"邹金玉"</f>
        <v>邹金玉</v>
      </c>
      <c r="C531" s="5" t="str">
        <f>"70732024101716444819125"</f>
        <v>70732024101716444819125</v>
      </c>
      <c r="D531" s="5" t="str">
        <f t="shared" si="13"/>
        <v>E2024090</v>
      </c>
      <c r="E531" s="5" t="s">
        <v>23</v>
      </c>
      <c r="F531" s="5" t="s">
        <v>24</v>
      </c>
      <c r="G531" s="5"/>
    </row>
    <row r="532" s="1" customFormat="1" ht="18" customHeight="1" spans="1:7">
      <c r="A532" s="5">
        <v>530</v>
      </c>
      <c r="B532" s="5" t="str">
        <f>"刘尚"</f>
        <v>刘尚</v>
      </c>
      <c r="C532" s="5" t="str">
        <f>"70732024101721161420900"</f>
        <v>70732024101721161420900</v>
      </c>
      <c r="D532" s="5" t="str">
        <f t="shared" si="13"/>
        <v>E2024090</v>
      </c>
      <c r="E532" s="5" t="s">
        <v>23</v>
      </c>
      <c r="F532" s="5" t="s">
        <v>24</v>
      </c>
      <c r="G532" s="5"/>
    </row>
    <row r="533" s="1" customFormat="1" ht="18" customHeight="1" spans="1:7">
      <c r="A533" s="5">
        <v>531</v>
      </c>
      <c r="B533" s="5" t="str">
        <f>"黄之芬"</f>
        <v>黄之芬</v>
      </c>
      <c r="C533" s="5" t="str">
        <f>"70732024101814045124404"</f>
        <v>70732024101814045124404</v>
      </c>
      <c r="D533" s="5" t="str">
        <f t="shared" si="13"/>
        <v>E2024090</v>
      </c>
      <c r="E533" s="5" t="s">
        <v>23</v>
      </c>
      <c r="F533" s="5" t="s">
        <v>24</v>
      </c>
      <c r="G533" s="5"/>
    </row>
    <row r="534" s="1" customFormat="1" ht="18" customHeight="1" spans="1:7">
      <c r="A534" s="5">
        <v>532</v>
      </c>
      <c r="B534" s="5" t="str">
        <f>"夏源"</f>
        <v>夏源</v>
      </c>
      <c r="C534" s="5" t="str">
        <f>"70732024101814364424601"</f>
        <v>70732024101814364424601</v>
      </c>
      <c r="D534" s="5" t="str">
        <f t="shared" si="13"/>
        <v>E2024090</v>
      </c>
      <c r="E534" s="5" t="s">
        <v>23</v>
      </c>
      <c r="F534" s="5" t="s">
        <v>24</v>
      </c>
      <c r="G534" s="5"/>
    </row>
    <row r="535" s="1" customFormat="1" ht="18" customHeight="1" spans="1:7">
      <c r="A535" s="5">
        <v>533</v>
      </c>
      <c r="B535" s="5" t="str">
        <f>"汤州"</f>
        <v>汤州</v>
      </c>
      <c r="C535" s="5" t="str">
        <f>"70732024101915081128987"</f>
        <v>70732024101915081128987</v>
      </c>
      <c r="D535" s="5" t="str">
        <f t="shared" si="13"/>
        <v>E2024090</v>
      </c>
      <c r="E535" s="5" t="s">
        <v>23</v>
      </c>
      <c r="F535" s="5" t="s">
        <v>24</v>
      </c>
      <c r="G535" s="5"/>
    </row>
    <row r="536" s="1" customFormat="1" ht="18" customHeight="1" spans="1:7">
      <c r="A536" s="5">
        <v>534</v>
      </c>
      <c r="B536" s="5" t="str">
        <f>"田涵群"</f>
        <v>田涵群</v>
      </c>
      <c r="C536" s="5" t="str">
        <f>"70732024101922590430416"</f>
        <v>70732024101922590430416</v>
      </c>
      <c r="D536" s="5" t="str">
        <f t="shared" si="13"/>
        <v>E2024090</v>
      </c>
      <c r="E536" s="5" t="s">
        <v>23</v>
      </c>
      <c r="F536" s="5" t="s">
        <v>24</v>
      </c>
      <c r="G536" s="5"/>
    </row>
    <row r="537" s="1" customFormat="1" ht="18" customHeight="1" spans="1:7">
      <c r="A537" s="5">
        <v>535</v>
      </c>
      <c r="B537" s="5" t="str">
        <f>"邓人华"</f>
        <v>邓人华</v>
      </c>
      <c r="C537" s="5" t="str">
        <f>"70732024102014141731551"</f>
        <v>70732024102014141731551</v>
      </c>
      <c r="D537" s="5" t="str">
        <f t="shared" si="13"/>
        <v>E2024090</v>
      </c>
      <c r="E537" s="5" t="s">
        <v>23</v>
      </c>
      <c r="F537" s="5" t="s">
        <v>24</v>
      </c>
      <c r="G537" s="5"/>
    </row>
    <row r="538" s="1" customFormat="1" ht="18" customHeight="1" spans="1:7">
      <c r="A538" s="5">
        <v>536</v>
      </c>
      <c r="B538" s="5" t="str">
        <f>"谢萌"</f>
        <v>谢萌</v>
      </c>
      <c r="C538" s="5" t="str">
        <f>"70732024102015265231774"</f>
        <v>70732024102015265231774</v>
      </c>
      <c r="D538" s="5" t="str">
        <f t="shared" si="13"/>
        <v>E2024090</v>
      </c>
      <c r="E538" s="5" t="s">
        <v>23</v>
      </c>
      <c r="F538" s="5" t="s">
        <v>24</v>
      </c>
      <c r="G538" s="5"/>
    </row>
    <row r="539" s="1" customFormat="1" ht="18" customHeight="1" spans="1:7">
      <c r="A539" s="5">
        <v>537</v>
      </c>
      <c r="B539" s="5" t="str">
        <f>"周雅琴"</f>
        <v>周雅琴</v>
      </c>
      <c r="C539" s="5" t="str">
        <f>"70732024102015133231729"</f>
        <v>70732024102015133231729</v>
      </c>
      <c r="D539" s="5" t="str">
        <f t="shared" si="13"/>
        <v>E2024090</v>
      </c>
      <c r="E539" s="5" t="s">
        <v>23</v>
      </c>
      <c r="F539" s="5" t="s">
        <v>24</v>
      </c>
      <c r="G539" s="5"/>
    </row>
    <row r="540" s="1" customFormat="1" ht="18" customHeight="1" spans="1:7">
      <c r="A540" s="5">
        <v>538</v>
      </c>
      <c r="B540" s="5" t="str">
        <f>"向聪"</f>
        <v>向聪</v>
      </c>
      <c r="C540" s="5" t="str">
        <f>"7073202410141807065813"</f>
        <v>7073202410141807065813</v>
      </c>
      <c r="D540" s="5" t="str">
        <f t="shared" si="13"/>
        <v>E2024090</v>
      </c>
      <c r="E540" s="5" t="s">
        <v>23</v>
      </c>
      <c r="F540" s="5" t="s">
        <v>24</v>
      </c>
      <c r="G540" s="5"/>
    </row>
    <row r="541" s="1" customFormat="1" ht="18" customHeight="1" spans="1:7">
      <c r="A541" s="5">
        <v>539</v>
      </c>
      <c r="B541" s="5" t="str">
        <f>"蔡殷志"</f>
        <v>蔡殷志</v>
      </c>
      <c r="C541" s="5" t="str">
        <f>"70732024102022290333233"</f>
        <v>70732024102022290333233</v>
      </c>
      <c r="D541" s="5" t="str">
        <f t="shared" si="13"/>
        <v>E2024090</v>
      </c>
      <c r="E541" s="5" t="s">
        <v>23</v>
      </c>
      <c r="F541" s="5" t="s">
        <v>24</v>
      </c>
      <c r="G541" s="5"/>
    </row>
    <row r="542" s="1" customFormat="1" ht="18" customHeight="1" spans="1:7">
      <c r="A542" s="5">
        <v>540</v>
      </c>
      <c r="B542" s="5" t="str">
        <f>"向垚"</f>
        <v>向垚</v>
      </c>
      <c r="C542" s="5" t="str">
        <f>"70732024102114533738536"</f>
        <v>70732024102114533738536</v>
      </c>
      <c r="D542" s="5" t="str">
        <f t="shared" si="13"/>
        <v>E2024090</v>
      </c>
      <c r="E542" s="5" t="s">
        <v>23</v>
      </c>
      <c r="F542" s="5" t="s">
        <v>24</v>
      </c>
      <c r="G542" s="5"/>
    </row>
    <row r="543" s="1" customFormat="1" ht="18" customHeight="1" spans="1:7">
      <c r="A543" s="5">
        <v>541</v>
      </c>
      <c r="B543" s="5" t="str">
        <f>"唐婵"</f>
        <v>唐婵</v>
      </c>
      <c r="C543" s="5" t="str">
        <f>"70732024102114151438142"</f>
        <v>70732024102114151438142</v>
      </c>
      <c r="D543" s="5" t="str">
        <f t="shared" si="13"/>
        <v>E2024090</v>
      </c>
      <c r="E543" s="5" t="s">
        <v>23</v>
      </c>
      <c r="F543" s="5" t="s">
        <v>24</v>
      </c>
      <c r="G543" s="5"/>
    </row>
    <row r="544" s="1" customFormat="1" ht="18" customHeight="1" spans="1:7">
      <c r="A544" s="5">
        <v>542</v>
      </c>
      <c r="B544" s="5" t="str">
        <f>"田建武"</f>
        <v>田建武</v>
      </c>
      <c r="C544" s="5" t="str">
        <f>"70732024101717324019442"</f>
        <v>70732024101717324019442</v>
      </c>
      <c r="D544" s="5" t="str">
        <f t="shared" si="13"/>
        <v>E2024090</v>
      </c>
      <c r="E544" s="5" t="s">
        <v>23</v>
      </c>
      <c r="F544" s="5" t="s">
        <v>24</v>
      </c>
      <c r="G544" s="5"/>
    </row>
    <row r="545" s="1" customFormat="1" ht="18" customHeight="1" spans="1:7">
      <c r="A545" s="5">
        <v>543</v>
      </c>
      <c r="B545" s="5" t="str">
        <f>"郑文博"</f>
        <v>郑文博</v>
      </c>
      <c r="C545" s="5" t="str">
        <f>"70732024102119264041415"</f>
        <v>70732024102119264041415</v>
      </c>
      <c r="D545" s="5" t="str">
        <f t="shared" si="13"/>
        <v>E2024090</v>
      </c>
      <c r="E545" s="5" t="s">
        <v>23</v>
      </c>
      <c r="F545" s="5" t="s">
        <v>24</v>
      </c>
      <c r="G545" s="5"/>
    </row>
    <row r="546" s="1" customFormat="1" ht="18" customHeight="1" spans="1:7">
      <c r="A546" s="5">
        <v>544</v>
      </c>
      <c r="B546" s="5" t="str">
        <f>"郑丽平"</f>
        <v>郑丽平</v>
      </c>
      <c r="C546" s="5" t="str">
        <f>"70732024102120411342001"</f>
        <v>70732024102120411342001</v>
      </c>
      <c r="D546" s="5" t="str">
        <f t="shared" si="13"/>
        <v>E2024090</v>
      </c>
      <c r="E546" s="5" t="s">
        <v>23</v>
      </c>
      <c r="F546" s="5" t="s">
        <v>24</v>
      </c>
      <c r="G546" s="5"/>
    </row>
    <row r="547" s="1" customFormat="1" ht="18" customHeight="1" spans="1:7">
      <c r="A547" s="5">
        <v>545</v>
      </c>
      <c r="B547" s="5" t="str">
        <f>"陈帅"</f>
        <v>陈帅</v>
      </c>
      <c r="C547" s="5" t="str">
        <f>"70732024102123235042975"</f>
        <v>70732024102123235042975</v>
      </c>
      <c r="D547" s="5" t="str">
        <f t="shared" si="13"/>
        <v>E2024090</v>
      </c>
      <c r="E547" s="5" t="s">
        <v>23</v>
      </c>
      <c r="F547" s="5" t="s">
        <v>24</v>
      </c>
      <c r="G547" s="5"/>
    </row>
    <row r="548" s="1" customFormat="1" ht="18" customHeight="1" spans="1:7">
      <c r="A548" s="5">
        <v>546</v>
      </c>
      <c r="B548" s="5" t="str">
        <f>"向欢"</f>
        <v>向欢</v>
      </c>
      <c r="C548" s="5" t="str">
        <f>"70732024102208411443415"</f>
        <v>70732024102208411443415</v>
      </c>
      <c r="D548" s="5" t="str">
        <f t="shared" si="13"/>
        <v>E2024090</v>
      </c>
      <c r="E548" s="5" t="s">
        <v>23</v>
      </c>
      <c r="F548" s="5" t="s">
        <v>24</v>
      </c>
      <c r="G548" s="5"/>
    </row>
    <row r="549" s="1" customFormat="1" ht="18" customHeight="1" spans="1:7">
      <c r="A549" s="5">
        <v>547</v>
      </c>
      <c r="B549" s="5" t="str">
        <f>"刘丹丹"</f>
        <v>刘丹丹</v>
      </c>
      <c r="C549" s="5" t="str">
        <f>"70732024102113383937810"</f>
        <v>70732024102113383937810</v>
      </c>
      <c r="D549" s="5" t="str">
        <f t="shared" si="13"/>
        <v>E2024090</v>
      </c>
      <c r="E549" s="5" t="s">
        <v>23</v>
      </c>
      <c r="F549" s="5" t="s">
        <v>24</v>
      </c>
      <c r="G549" s="5"/>
    </row>
    <row r="550" s="1" customFormat="1" ht="18" customHeight="1" spans="1:7">
      <c r="A550" s="5">
        <v>548</v>
      </c>
      <c r="B550" s="5" t="str">
        <f>"郭颖"</f>
        <v>郭颖</v>
      </c>
      <c r="C550" s="5" t="str">
        <f>"70732024102213055446002"</f>
        <v>70732024102213055446002</v>
      </c>
      <c r="D550" s="5" t="str">
        <f t="shared" si="13"/>
        <v>E2024090</v>
      </c>
      <c r="E550" s="5" t="s">
        <v>23</v>
      </c>
      <c r="F550" s="5" t="s">
        <v>24</v>
      </c>
      <c r="G550" s="5"/>
    </row>
    <row r="551" s="1" customFormat="1" ht="18" customHeight="1" spans="1:7">
      <c r="A551" s="5">
        <v>549</v>
      </c>
      <c r="B551" s="5" t="str">
        <f>"龙晓峰"</f>
        <v>龙晓峰</v>
      </c>
      <c r="C551" s="5" t="str">
        <f>"7073202410140924514178"</f>
        <v>7073202410140924514178</v>
      </c>
      <c r="D551" s="5" t="str">
        <f t="shared" si="13"/>
        <v>E2024090</v>
      </c>
      <c r="E551" s="5" t="s">
        <v>23</v>
      </c>
      <c r="F551" s="5" t="s">
        <v>24</v>
      </c>
      <c r="G551" s="5"/>
    </row>
    <row r="552" s="1" customFormat="1" ht="18" customHeight="1" spans="1:7">
      <c r="A552" s="5">
        <v>550</v>
      </c>
      <c r="B552" s="5" t="str">
        <f>"王鹏"</f>
        <v>王鹏</v>
      </c>
      <c r="C552" s="5" t="str">
        <f>"70732024102116221139645"</f>
        <v>70732024102116221139645</v>
      </c>
      <c r="D552" s="5" t="str">
        <f t="shared" si="13"/>
        <v>E2024090</v>
      </c>
      <c r="E552" s="5" t="s">
        <v>23</v>
      </c>
      <c r="F552" s="5" t="s">
        <v>24</v>
      </c>
      <c r="G552" s="5"/>
    </row>
    <row r="553" s="1" customFormat="1" ht="18" customHeight="1" spans="1:7">
      <c r="A553" s="5">
        <v>551</v>
      </c>
      <c r="B553" s="5" t="str">
        <f>"郑祖楷"</f>
        <v>郑祖楷</v>
      </c>
      <c r="C553" s="5" t="str">
        <f>"70732024102219355848918"</f>
        <v>70732024102219355848918</v>
      </c>
      <c r="D553" s="5" t="str">
        <f t="shared" si="13"/>
        <v>E2024090</v>
      </c>
      <c r="E553" s="5" t="s">
        <v>23</v>
      </c>
      <c r="F553" s="5" t="s">
        <v>24</v>
      </c>
      <c r="G553" s="5"/>
    </row>
    <row r="554" s="1" customFormat="1" ht="18" customHeight="1" spans="1:7">
      <c r="A554" s="5">
        <v>552</v>
      </c>
      <c r="B554" s="5" t="str">
        <f>"黄垚丞"</f>
        <v>黄垚丞</v>
      </c>
      <c r="C554" s="5" t="str">
        <f>"70732024102220354449377"</f>
        <v>70732024102220354449377</v>
      </c>
      <c r="D554" s="5" t="str">
        <f t="shared" si="13"/>
        <v>E2024090</v>
      </c>
      <c r="E554" s="5" t="s">
        <v>23</v>
      </c>
      <c r="F554" s="5" t="s">
        <v>24</v>
      </c>
      <c r="G554" s="5"/>
    </row>
    <row r="555" s="1" customFormat="1" ht="18" customHeight="1" spans="1:7">
      <c r="A555" s="5">
        <v>553</v>
      </c>
      <c r="B555" s="5" t="str">
        <f>"周瑞敏"</f>
        <v>周瑞敏</v>
      </c>
      <c r="C555" s="5" t="str">
        <f>"70732024102222240650215"</f>
        <v>70732024102222240650215</v>
      </c>
      <c r="D555" s="5" t="str">
        <f t="shared" si="13"/>
        <v>E2024090</v>
      </c>
      <c r="E555" s="5" t="s">
        <v>23</v>
      </c>
      <c r="F555" s="5" t="s">
        <v>24</v>
      </c>
      <c r="G555" s="5"/>
    </row>
    <row r="556" s="1" customFormat="1" ht="18" customHeight="1" spans="1:7">
      <c r="A556" s="5">
        <v>554</v>
      </c>
      <c r="B556" s="5" t="str">
        <f>"裴森彬"</f>
        <v>裴森彬</v>
      </c>
      <c r="C556" s="5" t="str">
        <f>"70732024102310560753889"</f>
        <v>70732024102310560753889</v>
      </c>
      <c r="D556" s="5" t="str">
        <f t="shared" si="13"/>
        <v>E2024090</v>
      </c>
      <c r="E556" s="5" t="s">
        <v>23</v>
      </c>
      <c r="F556" s="5" t="s">
        <v>24</v>
      </c>
      <c r="G556" s="5"/>
    </row>
    <row r="557" s="1" customFormat="1" ht="18" customHeight="1" spans="1:7">
      <c r="A557" s="5">
        <v>555</v>
      </c>
      <c r="B557" s="5" t="str">
        <f>"廖明洋"</f>
        <v>廖明洋</v>
      </c>
      <c r="C557" s="5" t="str">
        <f>"70732024102312055554907"</f>
        <v>70732024102312055554907</v>
      </c>
      <c r="D557" s="5" t="str">
        <f t="shared" ref="D557:D576" si="14">"E2024090"</f>
        <v>E2024090</v>
      </c>
      <c r="E557" s="5" t="s">
        <v>23</v>
      </c>
      <c r="F557" s="5" t="s">
        <v>24</v>
      </c>
      <c r="G557" s="5"/>
    </row>
    <row r="558" s="1" customFormat="1" ht="18" customHeight="1" spans="1:7">
      <c r="A558" s="5">
        <v>556</v>
      </c>
      <c r="B558" s="5" t="str">
        <f>"陈静"</f>
        <v>陈静</v>
      </c>
      <c r="C558" s="5" t="str">
        <f>"70732024102022525333323"</f>
        <v>70732024102022525333323</v>
      </c>
      <c r="D558" s="5" t="str">
        <f t="shared" si="14"/>
        <v>E2024090</v>
      </c>
      <c r="E558" s="5" t="s">
        <v>23</v>
      </c>
      <c r="F558" s="5" t="s">
        <v>24</v>
      </c>
      <c r="G558" s="5"/>
    </row>
    <row r="559" s="1" customFormat="1" ht="18" customHeight="1" spans="1:7">
      <c r="A559" s="5">
        <v>557</v>
      </c>
      <c r="B559" s="5" t="str">
        <f>"刘玉清"</f>
        <v>刘玉清</v>
      </c>
      <c r="C559" s="5" t="str">
        <f>"70732024102314485056801"</f>
        <v>70732024102314485056801</v>
      </c>
      <c r="D559" s="5" t="str">
        <f t="shared" si="14"/>
        <v>E2024090</v>
      </c>
      <c r="E559" s="5" t="s">
        <v>23</v>
      </c>
      <c r="F559" s="5" t="s">
        <v>24</v>
      </c>
      <c r="G559" s="5"/>
    </row>
    <row r="560" s="1" customFormat="1" ht="18" customHeight="1" spans="1:7">
      <c r="A560" s="5">
        <v>558</v>
      </c>
      <c r="B560" s="5" t="str">
        <f>"徐苗"</f>
        <v>徐苗</v>
      </c>
      <c r="C560" s="5" t="str">
        <f>"70732024102315072257064"</f>
        <v>70732024102315072257064</v>
      </c>
      <c r="D560" s="5" t="str">
        <f t="shared" si="14"/>
        <v>E2024090</v>
      </c>
      <c r="E560" s="5" t="s">
        <v>23</v>
      </c>
      <c r="F560" s="5" t="s">
        <v>24</v>
      </c>
      <c r="G560" s="5"/>
    </row>
    <row r="561" s="1" customFormat="1" ht="18" customHeight="1" spans="1:7">
      <c r="A561" s="5">
        <v>559</v>
      </c>
      <c r="B561" s="5" t="str">
        <f>"刘润琦"</f>
        <v>刘润琦</v>
      </c>
      <c r="C561" s="5" t="str">
        <f>"70732024102315270657380"</f>
        <v>70732024102315270657380</v>
      </c>
      <c r="D561" s="5" t="str">
        <f t="shared" si="14"/>
        <v>E2024090</v>
      </c>
      <c r="E561" s="5" t="s">
        <v>23</v>
      </c>
      <c r="F561" s="5" t="s">
        <v>24</v>
      </c>
      <c r="G561" s="5"/>
    </row>
    <row r="562" s="1" customFormat="1" ht="18" customHeight="1" spans="1:7">
      <c r="A562" s="5">
        <v>560</v>
      </c>
      <c r="B562" s="5" t="str">
        <f>"部慧"</f>
        <v>部慧</v>
      </c>
      <c r="C562" s="5" t="str">
        <f>"70732024102317451459224"</f>
        <v>70732024102317451459224</v>
      </c>
      <c r="D562" s="5" t="str">
        <f t="shared" si="14"/>
        <v>E2024090</v>
      </c>
      <c r="E562" s="5" t="s">
        <v>23</v>
      </c>
      <c r="F562" s="5" t="s">
        <v>24</v>
      </c>
      <c r="G562" s="5"/>
    </row>
    <row r="563" s="1" customFormat="1" ht="18" customHeight="1" spans="1:7">
      <c r="A563" s="5">
        <v>561</v>
      </c>
      <c r="B563" s="5" t="str">
        <f>"罗晓刚"</f>
        <v>罗晓刚</v>
      </c>
      <c r="C563" s="5" t="str">
        <f>"70732024101717041619260"</f>
        <v>70732024101717041619260</v>
      </c>
      <c r="D563" s="5" t="str">
        <f t="shared" si="14"/>
        <v>E2024090</v>
      </c>
      <c r="E563" s="5" t="s">
        <v>23</v>
      </c>
      <c r="F563" s="5" t="s">
        <v>24</v>
      </c>
      <c r="G563" s="5"/>
    </row>
    <row r="564" s="1" customFormat="1" ht="18" customHeight="1" spans="1:7">
      <c r="A564" s="5">
        <v>562</v>
      </c>
      <c r="B564" s="5" t="str">
        <f>"黄慧"</f>
        <v>黄慧</v>
      </c>
      <c r="C564" s="5" t="str">
        <f>"70732024102217481048242"</f>
        <v>70732024102217481048242</v>
      </c>
      <c r="D564" s="5" t="str">
        <f t="shared" si="14"/>
        <v>E2024090</v>
      </c>
      <c r="E564" s="5" t="s">
        <v>23</v>
      </c>
      <c r="F564" s="5" t="s">
        <v>24</v>
      </c>
      <c r="G564" s="5"/>
    </row>
    <row r="565" s="1" customFormat="1" ht="18" customHeight="1" spans="1:7">
      <c r="A565" s="5">
        <v>563</v>
      </c>
      <c r="B565" s="5" t="str">
        <f>"徐磊"</f>
        <v>徐磊</v>
      </c>
      <c r="C565" s="5" t="str">
        <f>"70732024102119542641639"</f>
        <v>70732024102119542641639</v>
      </c>
      <c r="D565" s="5" t="str">
        <f t="shared" si="14"/>
        <v>E2024090</v>
      </c>
      <c r="E565" s="5" t="s">
        <v>23</v>
      </c>
      <c r="F565" s="5" t="s">
        <v>24</v>
      </c>
      <c r="G565" s="5"/>
    </row>
    <row r="566" s="1" customFormat="1" ht="18" customHeight="1" spans="1:7">
      <c r="A566" s="5">
        <v>564</v>
      </c>
      <c r="B566" s="5" t="str">
        <f>"连晓玲"</f>
        <v>连晓玲</v>
      </c>
      <c r="C566" s="5" t="str">
        <f>"7073202410150017446374"</f>
        <v>7073202410150017446374</v>
      </c>
      <c r="D566" s="5" t="str">
        <f t="shared" si="14"/>
        <v>E2024090</v>
      </c>
      <c r="E566" s="5" t="s">
        <v>23</v>
      </c>
      <c r="F566" s="5" t="s">
        <v>24</v>
      </c>
      <c r="G566" s="5"/>
    </row>
    <row r="567" s="1" customFormat="1" ht="18" customHeight="1" spans="1:7">
      <c r="A567" s="5">
        <v>565</v>
      </c>
      <c r="B567" s="5" t="str">
        <f>"余必兵"</f>
        <v>余必兵</v>
      </c>
      <c r="C567" s="5" t="str">
        <f>"70732024102414370567335"</f>
        <v>70732024102414370567335</v>
      </c>
      <c r="D567" s="5" t="str">
        <f t="shared" si="14"/>
        <v>E2024090</v>
      </c>
      <c r="E567" s="5" t="s">
        <v>23</v>
      </c>
      <c r="F567" s="5" t="s">
        <v>24</v>
      </c>
      <c r="G567" s="5"/>
    </row>
    <row r="568" s="1" customFormat="1" ht="18" customHeight="1" spans="1:7">
      <c r="A568" s="5">
        <v>566</v>
      </c>
      <c r="B568" s="5" t="str">
        <f>"李四威"</f>
        <v>李四威</v>
      </c>
      <c r="C568" s="5" t="str">
        <f>"70732024102413020266505"</f>
        <v>70732024102413020266505</v>
      </c>
      <c r="D568" s="5" t="str">
        <f t="shared" si="14"/>
        <v>E2024090</v>
      </c>
      <c r="E568" s="5" t="s">
        <v>23</v>
      </c>
      <c r="F568" s="5" t="s">
        <v>24</v>
      </c>
      <c r="G568" s="5"/>
    </row>
    <row r="569" s="1" customFormat="1" ht="18" customHeight="1" spans="1:7">
      <c r="A569" s="5">
        <v>567</v>
      </c>
      <c r="B569" s="5" t="str">
        <f>"段晶晶"</f>
        <v>段晶晶</v>
      </c>
      <c r="C569" s="5" t="str">
        <f>"70732024102416202668554"</f>
        <v>70732024102416202668554</v>
      </c>
      <c r="D569" s="5" t="str">
        <f t="shared" si="14"/>
        <v>E2024090</v>
      </c>
      <c r="E569" s="5" t="s">
        <v>23</v>
      </c>
      <c r="F569" s="5" t="s">
        <v>24</v>
      </c>
      <c r="G569" s="5"/>
    </row>
    <row r="570" s="1" customFormat="1" ht="18" customHeight="1" spans="1:7">
      <c r="A570" s="5">
        <v>568</v>
      </c>
      <c r="B570" s="5" t="str">
        <f>"吕子昂"</f>
        <v>吕子昂</v>
      </c>
      <c r="C570" s="5" t="str">
        <f>"70732024102416365768740"</f>
        <v>70732024102416365768740</v>
      </c>
      <c r="D570" s="5" t="str">
        <f t="shared" si="14"/>
        <v>E2024090</v>
      </c>
      <c r="E570" s="5" t="s">
        <v>23</v>
      </c>
      <c r="F570" s="5" t="s">
        <v>24</v>
      </c>
      <c r="G570" s="5"/>
    </row>
    <row r="571" s="1" customFormat="1" ht="18" customHeight="1" spans="1:7">
      <c r="A571" s="5">
        <v>569</v>
      </c>
      <c r="B571" s="5" t="str">
        <f>"吴雯婧"</f>
        <v>吴雯婧</v>
      </c>
      <c r="C571" s="5" t="str">
        <f>"70732024102416503268888"</f>
        <v>70732024102416503268888</v>
      </c>
      <c r="D571" s="5" t="str">
        <f t="shared" si="14"/>
        <v>E2024090</v>
      </c>
      <c r="E571" s="5" t="s">
        <v>23</v>
      </c>
      <c r="F571" s="5" t="s">
        <v>24</v>
      </c>
      <c r="G571" s="5"/>
    </row>
    <row r="572" s="1" customFormat="1" ht="18" customHeight="1" spans="1:7">
      <c r="A572" s="5">
        <v>570</v>
      </c>
      <c r="B572" s="5" t="str">
        <f>"张鑫钺"</f>
        <v>张鑫钺</v>
      </c>
      <c r="C572" s="5" t="str">
        <f>"70732024102421301571444"</f>
        <v>70732024102421301571444</v>
      </c>
      <c r="D572" s="5" t="str">
        <f t="shared" si="14"/>
        <v>E2024090</v>
      </c>
      <c r="E572" s="5" t="s">
        <v>23</v>
      </c>
      <c r="F572" s="5" t="s">
        <v>24</v>
      </c>
      <c r="G572" s="5"/>
    </row>
    <row r="573" s="1" customFormat="1" ht="18" customHeight="1" spans="1:7">
      <c r="A573" s="5">
        <v>571</v>
      </c>
      <c r="B573" s="5" t="str">
        <f>"丁友爱"</f>
        <v>丁友爱</v>
      </c>
      <c r="C573" s="5" t="str">
        <f>"70732024102219105548734"</f>
        <v>70732024102219105548734</v>
      </c>
      <c r="D573" s="5" t="str">
        <f t="shared" si="14"/>
        <v>E2024090</v>
      </c>
      <c r="E573" s="5" t="s">
        <v>23</v>
      </c>
      <c r="F573" s="5" t="s">
        <v>24</v>
      </c>
      <c r="G573" s="5"/>
    </row>
    <row r="574" s="1" customFormat="1" ht="18" customHeight="1" spans="1:7">
      <c r="A574" s="5">
        <v>572</v>
      </c>
      <c r="B574" s="5" t="str">
        <f>"胡宏蕾"</f>
        <v>胡宏蕾</v>
      </c>
      <c r="C574" s="5" t="str">
        <f>"70732024102508103572887"</f>
        <v>70732024102508103572887</v>
      </c>
      <c r="D574" s="5" t="str">
        <f t="shared" si="14"/>
        <v>E2024090</v>
      </c>
      <c r="E574" s="5" t="s">
        <v>23</v>
      </c>
      <c r="F574" s="5" t="s">
        <v>24</v>
      </c>
      <c r="G574" s="5"/>
    </row>
    <row r="575" s="1" customFormat="1" ht="18" customHeight="1" spans="1:7">
      <c r="A575" s="5">
        <v>573</v>
      </c>
      <c r="B575" s="5" t="str">
        <f>"陈曼"</f>
        <v>陈曼</v>
      </c>
      <c r="C575" s="5" t="str">
        <f>"70732024102513070275619"</f>
        <v>70732024102513070275619</v>
      </c>
      <c r="D575" s="5" t="str">
        <f t="shared" si="14"/>
        <v>E2024090</v>
      </c>
      <c r="E575" s="5" t="s">
        <v>23</v>
      </c>
      <c r="F575" s="5" t="s">
        <v>24</v>
      </c>
      <c r="G575" s="5"/>
    </row>
    <row r="576" s="1" customFormat="1" ht="18" customHeight="1" spans="1:7">
      <c r="A576" s="5">
        <v>574</v>
      </c>
      <c r="B576" s="5" t="str">
        <f>"黄港"</f>
        <v>黄港</v>
      </c>
      <c r="C576" s="5" t="str">
        <f>"70732024102514075076097"</f>
        <v>70732024102514075076097</v>
      </c>
      <c r="D576" s="5" t="str">
        <f t="shared" si="14"/>
        <v>E2024090</v>
      </c>
      <c r="E576" s="5" t="s">
        <v>23</v>
      </c>
      <c r="F576" s="5" t="s">
        <v>24</v>
      </c>
      <c r="G576" s="5"/>
    </row>
    <row r="577" s="1" customFormat="1" ht="18" customHeight="1" spans="1:7">
      <c r="A577" s="5">
        <v>575</v>
      </c>
      <c r="B577" s="5" t="str">
        <f>"谷雨"</f>
        <v>谷雨</v>
      </c>
      <c r="C577" s="5" t="str">
        <f>"7073202410121331252292"</f>
        <v>7073202410121331252292</v>
      </c>
      <c r="D577" s="5" t="str">
        <f t="shared" ref="D577:D605" si="15">"E2024091"</f>
        <v>E2024091</v>
      </c>
      <c r="E577" s="5" t="s">
        <v>25</v>
      </c>
      <c r="F577" s="5" t="s">
        <v>26</v>
      </c>
      <c r="G577" s="5"/>
    </row>
    <row r="578" s="1" customFormat="1" ht="18" customHeight="1" spans="1:7">
      <c r="A578" s="5">
        <v>576</v>
      </c>
      <c r="B578" s="5" t="str">
        <f>"肖亚艳"</f>
        <v>肖亚艳</v>
      </c>
      <c r="C578" s="5" t="str">
        <f>"7073202410121608592605"</f>
        <v>7073202410121608592605</v>
      </c>
      <c r="D578" s="5" t="str">
        <f t="shared" si="15"/>
        <v>E2024091</v>
      </c>
      <c r="E578" s="5" t="s">
        <v>25</v>
      </c>
      <c r="F578" s="5" t="s">
        <v>26</v>
      </c>
      <c r="G578" s="5"/>
    </row>
    <row r="579" s="1" customFormat="1" ht="18" customHeight="1" spans="1:7">
      <c r="A579" s="5">
        <v>577</v>
      </c>
      <c r="B579" s="5" t="str">
        <f>"黄畅武"</f>
        <v>黄畅武</v>
      </c>
      <c r="C579" s="5" t="str">
        <f>"7073202410121645392683"</f>
        <v>7073202410121645392683</v>
      </c>
      <c r="D579" s="5" t="str">
        <f t="shared" si="15"/>
        <v>E2024091</v>
      </c>
      <c r="E579" s="5" t="s">
        <v>25</v>
      </c>
      <c r="F579" s="5" t="s">
        <v>26</v>
      </c>
      <c r="G579" s="5"/>
    </row>
    <row r="580" s="1" customFormat="1" ht="18" customHeight="1" spans="1:7">
      <c r="A580" s="5">
        <v>578</v>
      </c>
      <c r="B580" s="5" t="str">
        <f>"许炜"</f>
        <v>许炜</v>
      </c>
      <c r="C580" s="5" t="str">
        <f>"7073202410121148482089"</f>
        <v>7073202410121148482089</v>
      </c>
      <c r="D580" s="5" t="str">
        <f t="shared" si="15"/>
        <v>E2024091</v>
      </c>
      <c r="E580" s="5" t="s">
        <v>25</v>
      </c>
      <c r="F580" s="5" t="s">
        <v>26</v>
      </c>
      <c r="G580" s="5"/>
    </row>
    <row r="581" s="1" customFormat="1" ht="18" customHeight="1" spans="1:7">
      <c r="A581" s="5">
        <v>579</v>
      </c>
      <c r="B581" s="5" t="str">
        <f>"张登"</f>
        <v>张登</v>
      </c>
      <c r="C581" s="5" t="str">
        <f>"7073202410131002263219"</f>
        <v>7073202410131002263219</v>
      </c>
      <c r="D581" s="5" t="str">
        <f t="shared" si="15"/>
        <v>E2024091</v>
      </c>
      <c r="E581" s="5" t="s">
        <v>25</v>
      </c>
      <c r="F581" s="5" t="s">
        <v>26</v>
      </c>
      <c r="G581" s="5"/>
    </row>
    <row r="582" s="1" customFormat="1" ht="18" customHeight="1" spans="1:7">
      <c r="A582" s="5">
        <v>580</v>
      </c>
      <c r="B582" s="5" t="str">
        <f>"王帝"</f>
        <v>王帝</v>
      </c>
      <c r="C582" s="5" t="str">
        <f>"7073202410131605083556"</f>
        <v>7073202410131605083556</v>
      </c>
      <c r="D582" s="5" t="str">
        <f t="shared" si="15"/>
        <v>E2024091</v>
      </c>
      <c r="E582" s="5" t="s">
        <v>25</v>
      </c>
      <c r="F582" s="5" t="s">
        <v>26</v>
      </c>
      <c r="G582" s="5"/>
    </row>
    <row r="583" s="1" customFormat="1" ht="18" customHeight="1" spans="1:7">
      <c r="A583" s="5">
        <v>581</v>
      </c>
      <c r="B583" s="5" t="str">
        <f>"谭芳"</f>
        <v>谭芳</v>
      </c>
      <c r="C583" s="5" t="str">
        <f>"7073202410131825123674"</f>
        <v>7073202410131825123674</v>
      </c>
      <c r="D583" s="5" t="str">
        <f t="shared" si="15"/>
        <v>E2024091</v>
      </c>
      <c r="E583" s="5" t="s">
        <v>25</v>
      </c>
      <c r="F583" s="5" t="s">
        <v>26</v>
      </c>
      <c r="G583" s="5"/>
    </row>
    <row r="584" s="1" customFormat="1" ht="18" customHeight="1" spans="1:7">
      <c r="A584" s="5">
        <v>582</v>
      </c>
      <c r="B584" s="5" t="str">
        <f>"谭远斌"</f>
        <v>谭远斌</v>
      </c>
      <c r="C584" s="5" t="str">
        <f>"7073202410141149134883"</f>
        <v>7073202410141149134883</v>
      </c>
      <c r="D584" s="5" t="str">
        <f t="shared" si="15"/>
        <v>E2024091</v>
      </c>
      <c r="E584" s="5" t="s">
        <v>25</v>
      </c>
      <c r="F584" s="5" t="s">
        <v>26</v>
      </c>
      <c r="G584" s="5"/>
    </row>
    <row r="585" s="1" customFormat="1" ht="18" customHeight="1" spans="1:7">
      <c r="A585" s="5">
        <v>583</v>
      </c>
      <c r="B585" s="5" t="str">
        <f>"康干"</f>
        <v>康干</v>
      </c>
      <c r="C585" s="5" t="str">
        <f>"7073202410141504205339"</f>
        <v>7073202410141504205339</v>
      </c>
      <c r="D585" s="5" t="str">
        <f t="shared" si="15"/>
        <v>E2024091</v>
      </c>
      <c r="E585" s="5" t="s">
        <v>25</v>
      </c>
      <c r="F585" s="5" t="s">
        <v>26</v>
      </c>
      <c r="G585" s="5"/>
    </row>
    <row r="586" s="1" customFormat="1" ht="18" customHeight="1" spans="1:7">
      <c r="A586" s="5">
        <v>584</v>
      </c>
      <c r="B586" s="5" t="str">
        <f>"金露"</f>
        <v>金露</v>
      </c>
      <c r="C586" s="5" t="str">
        <f>"7073202410141652255674"</f>
        <v>7073202410141652255674</v>
      </c>
      <c r="D586" s="5" t="str">
        <f t="shared" si="15"/>
        <v>E2024091</v>
      </c>
      <c r="E586" s="5" t="s">
        <v>25</v>
      </c>
      <c r="F586" s="5" t="s">
        <v>26</v>
      </c>
      <c r="G586" s="5"/>
    </row>
    <row r="587" s="1" customFormat="1" ht="18" customHeight="1" spans="1:7">
      <c r="A587" s="5">
        <v>585</v>
      </c>
      <c r="B587" s="5" t="str">
        <f>"曹艳森"</f>
        <v>曹艳森</v>
      </c>
      <c r="C587" s="5" t="str">
        <f>"70732024101620355014545"</f>
        <v>70732024101620355014545</v>
      </c>
      <c r="D587" s="5" t="str">
        <f t="shared" si="15"/>
        <v>E2024091</v>
      </c>
      <c r="E587" s="5" t="s">
        <v>25</v>
      </c>
      <c r="F587" s="5" t="s">
        <v>26</v>
      </c>
      <c r="G587" s="5"/>
    </row>
    <row r="588" s="1" customFormat="1" ht="18" customHeight="1" spans="1:7">
      <c r="A588" s="5">
        <v>586</v>
      </c>
      <c r="B588" s="5" t="str">
        <f>"向剑锋"</f>
        <v>向剑锋</v>
      </c>
      <c r="C588" s="5" t="str">
        <f>"70732024101717214819381"</f>
        <v>70732024101717214819381</v>
      </c>
      <c r="D588" s="5" t="str">
        <f t="shared" si="15"/>
        <v>E2024091</v>
      </c>
      <c r="E588" s="5" t="s">
        <v>25</v>
      </c>
      <c r="F588" s="5" t="s">
        <v>26</v>
      </c>
      <c r="G588" s="5"/>
    </row>
    <row r="589" s="1" customFormat="1" ht="18" customHeight="1" spans="1:7">
      <c r="A589" s="5">
        <v>587</v>
      </c>
      <c r="B589" s="5" t="str">
        <f>"曾维"</f>
        <v>曾维</v>
      </c>
      <c r="C589" s="5" t="str">
        <f>"70732024101818351726138"</f>
        <v>70732024101818351726138</v>
      </c>
      <c r="D589" s="5" t="str">
        <f t="shared" si="15"/>
        <v>E2024091</v>
      </c>
      <c r="E589" s="5" t="s">
        <v>25</v>
      </c>
      <c r="F589" s="5" t="s">
        <v>26</v>
      </c>
      <c r="G589" s="5"/>
    </row>
    <row r="590" s="1" customFormat="1" ht="18" customHeight="1" spans="1:7">
      <c r="A590" s="5">
        <v>588</v>
      </c>
      <c r="B590" s="5" t="str">
        <f>"黄巍"</f>
        <v>黄巍</v>
      </c>
      <c r="C590" s="5" t="str">
        <f>"70732024101820502027070"</f>
        <v>70732024101820502027070</v>
      </c>
      <c r="D590" s="5" t="str">
        <f t="shared" si="15"/>
        <v>E2024091</v>
      </c>
      <c r="E590" s="5" t="s">
        <v>25</v>
      </c>
      <c r="F590" s="5" t="s">
        <v>26</v>
      </c>
      <c r="G590" s="5"/>
    </row>
    <row r="591" s="1" customFormat="1" ht="18" customHeight="1" spans="1:7">
      <c r="A591" s="5">
        <v>589</v>
      </c>
      <c r="B591" s="5" t="str">
        <f>"邓烈垚"</f>
        <v>邓烈垚</v>
      </c>
      <c r="C591" s="5" t="str">
        <f>"70732024102109015034107"</f>
        <v>70732024102109015034107</v>
      </c>
      <c r="D591" s="5" t="str">
        <f t="shared" si="15"/>
        <v>E2024091</v>
      </c>
      <c r="E591" s="5" t="s">
        <v>25</v>
      </c>
      <c r="F591" s="5" t="s">
        <v>26</v>
      </c>
      <c r="G591" s="5"/>
    </row>
    <row r="592" s="1" customFormat="1" ht="18" customHeight="1" spans="1:7">
      <c r="A592" s="5">
        <v>590</v>
      </c>
      <c r="B592" s="5" t="str">
        <f>"李国瑞"</f>
        <v>李国瑞</v>
      </c>
      <c r="C592" s="5" t="str">
        <f>"70732024102117063140241"</f>
        <v>70732024102117063140241</v>
      </c>
      <c r="D592" s="5" t="str">
        <f t="shared" si="15"/>
        <v>E2024091</v>
      </c>
      <c r="E592" s="5" t="s">
        <v>25</v>
      </c>
      <c r="F592" s="5" t="s">
        <v>26</v>
      </c>
      <c r="G592" s="5"/>
    </row>
    <row r="593" s="1" customFormat="1" ht="18" customHeight="1" spans="1:7">
      <c r="A593" s="5">
        <v>591</v>
      </c>
      <c r="B593" s="5" t="str">
        <f>"邓双"</f>
        <v>邓双</v>
      </c>
      <c r="C593" s="5" t="str">
        <f>"70732024102117192340401"</f>
        <v>70732024102117192340401</v>
      </c>
      <c r="D593" s="5" t="str">
        <f t="shared" si="15"/>
        <v>E2024091</v>
      </c>
      <c r="E593" s="5" t="s">
        <v>25</v>
      </c>
      <c r="F593" s="5" t="s">
        <v>26</v>
      </c>
      <c r="G593" s="5"/>
    </row>
    <row r="594" s="1" customFormat="1" ht="18" customHeight="1" spans="1:7">
      <c r="A594" s="5">
        <v>592</v>
      </c>
      <c r="B594" s="5" t="str">
        <f>"欧阳娇睿"</f>
        <v>欧阳娇睿</v>
      </c>
      <c r="C594" s="5" t="str">
        <f>"70732024102211210145190"</f>
        <v>70732024102211210145190</v>
      </c>
      <c r="D594" s="5" t="str">
        <f t="shared" si="15"/>
        <v>E2024091</v>
      </c>
      <c r="E594" s="5" t="s">
        <v>25</v>
      </c>
      <c r="F594" s="5" t="s">
        <v>26</v>
      </c>
      <c r="G594" s="5"/>
    </row>
    <row r="595" s="1" customFormat="1" ht="18" customHeight="1" spans="1:7">
      <c r="A595" s="5">
        <v>593</v>
      </c>
      <c r="B595" s="5" t="str">
        <f>"于晨"</f>
        <v>于晨</v>
      </c>
      <c r="C595" s="5" t="str">
        <f>"70732024102210382244723"</f>
        <v>70732024102210382244723</v>
      </c>
      <c r="D595" s="5" t="str">
        <f t="shared" si="15"/>
        <v>E2024091</v>
      </c>
      <c r="E595" s="5" t="s">
        <v>25</v>
      </c>
      <c r="F595" s="5" t="s">
        <v>26</v>
      </c>
      <c r="G595" s="5"/>
    </row>
    <row r="596" s="1" customFormat="1" ht="18" customHeight="1" spans="1:7">
      <c r="A596" s="5">
        <v>594</v>
      </c>
      <c r="B596" s="5" t="str">
        <f>"周柏邑"</f>
        <v>周柏邑</v>
      </c>
      <c r="C596" s="5" t="str">
        <f>"7073202410150117456387"</f>
        <v>7073202410150117456387</v>
      </c>
      <c r="D596" s="5" t="str">
        <f t="shared" si="15"/>
        <v>E2024091</v>
      </c>
      <c r="E596" s="5" t="s">
        <v>25</v>
      </c>
      <c r="F596" s="5" t="s">
        <v>26</v>
      </c>
      <c r="G596" s="5"/>
    </row>
    <row r="597" s="1" customFormat="1" ht="18" customHeight="1" spans="1:7">
      <c r="A597" s="5">
        <v>595</v>
      </c>
      <c r="B597" s="5" t="str">
        <f>"邹孝龙"</f>
        <v>邹孝龙</v>
      </c>
      <c r="C597" s="5" t="str">
        <f>"70732024102321000961267"</f>
        <v>70732024102321000961267</v>
      </c>
      <c r="D597" s="5" t="str">
        <f t="shared" si="15"/>
        <v>E2024091</v>
      </c>
      <c r="E597" s="5" t="s">
        <v>25</v>
      </c>
      <c r="F597" s="5" t="s">
        <v>26</v>
      </c>
      <c r="G597" s="5"/>
    </row>
    <row r="598" s="1" customFormat="1" ht="18" customHeight="1" spans="1:7">
      <c r="A598" s="5">
        <v>596</v>
      </c>
      <c r="B598" s="5" t="str">
        <f>"杨年龙"</f>
        <v>杨年龙</v>
      </c>
      <c r="C598" s="5" t="str">
        <f>"70732024102111565336899"</f>
        <v>70732024102111565336899</v>
      </c>
      <c r="D598" s="5" t="str">
        <f t="shared" si="15"/>
        <v>E2024091</v>
      </c>
      <c r="E598" s="5" t="s">
        <v>25</v>
      </c>
      <c r="F598" s="5" t="s">
        <v>26</v>
      </c>
      <c r="G598" s="5"/>
    </row>
    <row r="599" s="1" customFormat="1" ht="18" customHeight="1" spans="1:7">
      <c r="A599" s="5">
        <v>597</v>
      </c>
      <c r="B599" s="5" t="str">
        <f>"夏传洁"</f>
        <v>夏传洁</v>
      </c>
      <c r="C599" s="5" t="str">
        <f>"70732024102322280662275"</f>
        <v>70732024102322280662275</v>
      </c>
      <c r="D599" s="5" t="str">
        <f t="shared" si="15"/>
        <v>E2024091</v>
      </c>
      <c r="E599" s="5" t="s">
        <v>25</v>
      </c>
      <c r="F599" s="5" t="s">
        <v>26</v>
      </c>
      <c r="G599" s="5"/>
    </row>
    <row r="600" s="1" customFormat="1" ht="18" customHeight="1" spans="1:7">
      <c r="A600" s="5">
        <v>598</v>
      </c>
      <c r="B600" s="5" t="str">
        <f>"包梦园"</f>
        <v>包梦园</v>
      </c>
      <c r="C600" s="5" t="str">
        <f>"70732024102409070563803"</f>
        <v>70732024102409070563803</v>
      </c>
      <c r="D600" s="5" t="str">
        <f t="shared" si="15"/>
        <v>E2024091</v>
      </c>
      <c r="E600" s="5" t="s">
        <v>25</v>
      </c>
      <c r="F600" s="5" t="s">
        <v>26</v>
      </c>
      <c r="G600" s="5"/>
    </row>
    <row r="601" s="1" customFormat="1" ht="18" customHeight="1" spans="1:7">
      <c r="A601" s="5">
        <v>599</v>
      </c>
      <c r="B601" s="5" t="str">
        <f>"王家宝"</f>
        <v>王家宝</v>
      </c>
      <c r="C601" s="5" t="str">
        <f>"70732024102411000265330"</f>
        <v>70732024102411000265330</v>
      </c>
      <c r="D601" s="5" t="str">
        <f t="shared" si="15"/>
        <v>E2024091</v>
      </c>
      <c r="E601" s="5" t="s">
        <v>25</v>
      </c>
      <c r="F601" s="5" t="s">
        <v>26</v>
      </c>
      <c r="G601" s="5"/>
    </row>
    <row r="602" s="1" customFormat="1" ht="18" customHeight="1" spans="1:7">
      <c r="A602" s="5">
        <v>600</v>
      </c>
      <c r="B602" s="5" t="str">
        <f>"张洪"</f>
        <v>张洪</v>
      </c>
      <c r="C602" s="5" t="str">
        <f>"70732024102410555265274"</f>
        <v>70732024102410555265274</v>
      </c>
      <c r="D602" s="5" t="str">
        <f t="shared" si="15"/>
        <v>E2024091</v>
      </c>
      <c r="E602" s="5" t="s">
        <v>25</v>
      </c>
      <c r="F602" s="5" t="s">
        <v>26</v>
      </c>
      <c r="G602" s="5"/>
    </row>
    <row r="603" s="1" customFormat="1" ht="18" customHeight="1" spans="1:7">
      <c r="A603" s="5">
        <v>601</v>
      </c>
      <c r="B603" s="5" t="str">
        <f>"冉晓丽"</f>
        <v>冉晓丽</v>
      </c>
      <c r="C603" s="5" t="str">
        <f>"70732024102512410975374"</f>
        <v>70732024102512410975374</v>
      </c>
      <c r="D603" s="5" t="str">
        <f t="shared" si="15"/>
        <v>E2024091</v>
      </c>
      <c r="E603" s="5" t="s">
        <v>25</v>
      </c>
      <c r="F603" s="5" t="s">
        <v>26</v>
      </c>
      <c r="G603" s="5"/>
    </row>
    <row r="604" s="1" customFormat="1" ht="18" customHeight="1" spans="1:7">
      <c r="A604" s="5">
        <v>602</v>
      </c>
      <c r="B604" s="5" t="str">
        <f>"吴明"</f>
        <v>吴明</v>
      </c>
      <c r="C604" s="5" t="str">
        <f>"70732024102513250075766"</f>
        <v>70732024102513250075766</v>
      </c>
      <c r="D604" s="5" t="str">
        <f t="shared" si="15"/>
        <v>E2024091</v>
      </c>
      <c r="E604" s="5" t="s">
        <v>25</v>
      </c>
      <c r="F604" s="5" t="s">
        <v>26</v>
      </c>
      <c r="G604" s="5"/>
    </row>
    <row r="605" s="1" customFormat="1" ht="18" customHeight="1" spans="1:7">
      <c r="A605" s="5">
        <v>603</v>
      </c>
      <c r="B605" s="5" t="str">
        <f>"刘政鑫"</f>
        <v>刘政鑫</v>
      </c>
      <c r="C605" s="5" t="str">
        <f>"70732024102515324877057"</f>
        <v>70732024102515324877057</v>
      </c>
      <c r="D605" s="5" t="str">
        <f t="shared" si="15"/>
        <v>E2024091</v>
      </c>
      <c r="E605" s="5" t="s">
        <v>25</v>
      </c>
      <c r="F605" s="5" t="s">
        <v>26</v>
      </c>
      <c r="G605" s="5"/>
    </row>
    <row r="606" s="1" customFormat="1" ht="18" customHeight="1" spans="1:7">
      <c r="A606" s="5">
        <v>604</v>
      </c>
      <c r="B606" s="5" t="str">
        <f>"詹斯玙嫚"</f>
        <v>詹斯玙嫚</v>
      </c>
      <c r="C606" s="5" t="str">
        <f>"7073202410120949071681"</f>
        <v>7073202410120949071681</v>
      </c>
      <c r="D606" s="5" t="str">
        <f t="shared" ref="D606:D669" si="16">"E2024092"</f>
        <v>E2024092</v>
      </c>
      <c r="E606" s="5" t="s">
        <v>27</v>
      </c>
      <c r="F606" s="5" t="s">
        <v>28</v>
      </c>
      <c r="G606" s="5"/>
    </row>
    <row r="607" s="1" customFormat="1" ht="18" customHeight="1" spans="1:7">
      <c r="A607" s="5">
        <v>605</v>
      </c>
      <c r="B607" s="5" t="str">
        <f>"谷海冰"</f>
        <v>谷海冰</v>
      </c>
      <c r="C607" s="5" t="str">
        <f>"7073202410120902521479"</f>
        <v>7073202410120902521479</v>
      </c>
      <c r="D607" s="5" t="str">
        <f t="shared" si="16"/>
        <v>E2024092</v>
      </c>
      <c r="E607" s="5" t="s">
        <v>27</v>
      </c>
      <c r="F607" s="5" t="s">
        <v>28</v>
      </c>
      <c r="G607" s="5"/>
    </row>
    <row r="608" s="1" customFormat="1" ht="18" customHeight="1" spans="1:7">
      <c r="A608" s="5">
        <v>606</v>
      </c>
      <c r="B608" s="5" t="str">
        <f>"杜芳裕"</f>
        <v>杜芳裕</v>
      </c>
      <c r="C608" s="5" t="str">
        <f>"7073202410121105441954"</f>
        <v>7073202410121105441954</v>
      </c>
      <c r="D608" s="5" t="str">
        <f t="shared" si="16"/>
        <v>E2024092</v>
      </c>
      <c r="E608" s="5" t="s">
        <v>27</v>
      </c>
      <c r="F608" s="5" t="s">
        <v>28</v>
      </c>
      <c r="G608" s="5"/>
    </row>
    <row r="609" s="1" customFormat="1" ht="18" customHeight="1" spans="1:7">
      <c r="A609" s="5">
        <v>607</v>
      </c>
      <c r="B609" s="5" t="str">
        <f>"黄硕"</f>
        <v>黄硕</v>
      </c>
      <c r="C609" s="5" t="str">
        <f>"7073202410121045371886"</f>
        <v>7073202410121045371886</v>
      </c>
      <c r="D609" s="5" t="str">
        <f t="shared" si="16"/>
        <v>E2024092</v>
      </c>
      <c r="E609" s="5" t="s">
        <v>27</v>
      </c>
      <c r="F609" s="5" t="s">
        <v>28</v>
      </c>
      <c r="G609" s="5"/>
    </row>
    <row r="610" s="1" customFormat="1" ht="18" customHeight="1" spans="1:7">
      <c r="A610" s="5">
        <v>608</v>
      </c>
      <c r="B610" s="5" t="str">
        <f>"何培曦"</f>
        <v>何培曦</v>
      </c>
      <c r="C610" s="5" t="str">
        <f>"7073202410121153192105"</f>
        <v>7073202410121153192105</v>
      </c>
      <c r="D610" s="5" t="str">
        <f t="shared" si="16"/>
        <v>E2024092</v>
      </c>
      <c r="E610" s="5" t="s">
        <v>27</v>
      </c>
      <c r="F610" s="5" t="s">
        <v>28</v>
      </c>
      <c r="G610" s="5"/>
    </row>
    <row r="611" s="1" customFormat="1" ht="18" customHeight="1" spans="1:7">
      <c r="A611" s="5">
        <v>609</v>
      </c>
      <c r="B611" s="5" t="str">
        <f>"黄蕾"</f>
        <v>黄蕾</v>
      </c>
      <c r="C611" s="5" t="str">
        <f>"7073202410121118431992"</f>
        <v>7073202410121118431992</v>
      </c>
      <c r="D611" s="5" t="str">
        <f t="shared" si="16"/>
        <v>E2024092</v>
      </c>
      <c r="E611" s="5" t="s">
        <v>27</v>
      </c>
      <c r="F611" s="5" t="s">
        <v>28</v>
      </c>
      <c r="G611" s="5"/>
    </row>
    <row r="612" s="1" customFormat="1" ht="18" customHeight="1" spans="1:7">
      <c r="A612" s="5">
        <v>610</v>
      </c>
      <c r="B612" s="5" t="str">
        <f>"邓小芬"</f>
        <v>邓小芬</v>
      </c>
      <c r="C612" s="5" t="str">
        <f>"7073202410121322512277"</f>
        <v>7073202410121322512277</v>
      </c>
      <c r="D612" s="5" t="str">
        <f t="shared" si="16"/>
        <v>E2024092</v>
      </c>
      <c r="E612" s="5" t="s">
        <v>27</v>
      </c>
      <c r="F612" s="5" t="s">
        <v>28</v>
      </c>
      <c r="G612" s="5"/>
    </row>
    <row r="613" s="1" customFormat="1" ht="18" customHeight="1" spans="1:7">
      <c r="A613" s="5">
        <v>611</v>
      </c>
      <c r="B613" s="5" t="str">
        <f>"罗文婧"</f>
        <v>罗文婧</v>
      </c>
      <c r="C613" s="5" t="str">
        <f>"7073202410121337232300"</f>
        <v>7073202410121337232300</v>
      </c>
      <c r="D613" s="5" t="str">
        <f t="shared" si="16"/>
        <v>E2024092</v>
      </c>
      <c r="E613" s="5" t="s">
        <v>27</v>
      </c>
      <c r="F613" s="5" t="s">
        <v>28</v>
      </c>
      <c r="G613" s="5"/>
    </row>
    <row r="614" s="1" customFormat="1" ht="18" customHeight="1" spans="1:7">
      <c r="A614" s="5">
        <v>612</v>
      </c>
      <c r="B614" s="5" t="str">
        <f>"陈艳琼"</f>
        <v>陈艳琼</v>
      </c>
      <c r="C614" s="5" t="str">
        <f>"7073202410121400462342"</f>
        <v>7073202410121400462342</v>
      </c>
      <c r="D614" s="5" t="str">
        <f t="shared" si="16"/>
        <v>E2024092</v>
      </c>
      <c r="E614" s="5" t="s">
        <v>27</v>
      </c>
      <c r="F614" s="5" t="s">
        <v>28</v>
      </c>
      <c r="G614" s="5"/>
    </row>
    <row r="615" s="1" customFormat="1" ht="18" customHeight="1" spans="1:7">
      <c r="A615" s="5">
        <v>613</v>
      </c>
      <c r="B615" s="5" t="str">
        <f>"谷权丽"</f>
        <v>谷权丽</v>
      </c>
      <c r="C615" s="5" t="str">
        <f>"7073202410121231282178"</f>
        <v>7073202410121231282178</v>
      </c>
      <c r="D615" s="5" t="str">
        <f t="shared" si="16"/>
        <v>E2024092</v>
      </c>
      <c r="E615" s="5" t="s">
        <v>27</v>
      </c>
      <c r="F615" s="5" t="s">
        <v>28</v>
      </c>
      <c r="G615" s="5"/>
    </row>
    <row r="616" s="1" customFormat="1" ht="18" customHeight="1" spans="1:7">
      <c r="A616" s="5">
        <v>614</v>
      </c>
      <c r="B616" s="5" t="str">
        <f>"袁梦怡"</f>
        <v>袁梦怡</v>
      </c>
      <c r="C616" s="5" t="str">
        <f>"7073202410121618332629"</f>
        <v>7073202410121618332629</v>
      </c>
      <c r="D616" s="5" t="str">
        <f t="shared" si="16"/>
        <v>E2024092</v>
      </c>
      <c r="E616" s="5" t="s">
        <v>27</v>
      </c>
      <c r="F616" s="5" t="s">
        <v>28</v>
      </c>
      <c r="G616" s="5"/>
    </row>
    <row r="617" s="1" customFormat="1" ht="18" customHeight="1" spans="1:7">
      <c r="A617" s="5">
        <v>615</v>
      </c>
      <c r="B617" s="5" t="str">
        <f>"谢艳玲"</f>
        <v>谢艳玲</v>
      </c>
      <c r="C617" s="5" t="str">
        <f>"7073202410121544052540"</f>
        <v>7073202410121544052540</v>
      </c>
      <c r="D617" s="5" t="str">
        <f t="shared" si="16"/>
        <v>E2024092</v>
      </c>
      <c r="E617" s="5" t="s">
        <v>27</v>
      </c>
      <c r="F617" s="5" t="s">
        <v>28</v>
      </c>
      <c r="G617" s="5"/>
    </row>
    <row r="618" s="1" customFormat="1" ht="18" customHeight="1" spans="1:7">
      <c r="A618" s="5">
        <v>616</v>
      </c>
      <c r="B618" s="5" t="str">
        <f>"吴金晶"</f>
        <v>吴金晶</v>
      </c>
      <c r="C618" s="5" t="str">
        <f>"7073202410121652342691"</f>
        <v>7073202410121652342691</v>
      </c>
      <c r="D618" s="5" t="str">
        <f t="shared" si="16"/>
        <v>E2024092</v>
      </c>
      <c r="E618" s="5" t="s">
        <v>27</v>
      </c>
      <c r="F618" s="5" t="s">
        <v>28</v>
      </c>
      <c r="G618" s="5"/>
    </row>
    <row r="619" s="1" customFormat="1" ht="18" customHeight="1" spans="1:7">
      <c r="A619" s="5">
        <v>617</v>
      </c>
      <c r="B619" s="5" t="str">
        <f>"刘德华"</f>
        <v>刘德华</v>
      </c>
      <c r="C619" s="5" t="str">
        <f>"7073202410121900262849"</f>
        <v>7073202410121900262849</v>
      </c>
      <c r="D619" s="5" t="str">
        <f t="shared" si="16"/>
        <v>E2024092</v>
      </c>
      <c r="E619" s="5" t="s">
        <v>27</v>
      </c>
      <c r="F619" s="5" t="s">
        <v>28</v>
      </c>
      <c r="G619" s="5"/>
    </row>
    <row r="620" s="1" customFormat="1" ht="18" customHeight="1" spans="1:7">
      <c r="A620" s="5">
        <v>618</v>
      </c>
      <c r="B620" s="5" t="str">
        <f>"侯慧"</f>
        <v>侯慧</v>
      </c>
      <c r="C620" s="5" t="str">
        <f>"7073202410121906252861"</f>
        <v>7073202410121906252861</v>
      </c>
      <c r="D620" s="5" t="str">
        <f t="shared" si="16"/>
        <v>E2024092</v>
      </c>
      <c r="E620" s="5" t="s">
        <v>27</v>
      </c>
      <c r="F620" s="5" t="s">
        <v>28</v>
      </c>
      <c r="G620" s="5"/>
    </row>
    <row r="621" s="1" customFormat="1" ht="18" customHeight="1" spans="1:7">
      <c r="A621" s="5">
        <v>619</v>
      </c>
      <c r="B621" s="5" t="str">
        <f>"奉亚明"</f>
        <v>奉亚明</v>
      </c>
      <c r="C621" s="5" t="str">
        <f>"7073202410121903552856"</f>
        <v>7073202410121903552856</v>
      </c>
      <c r="D621" s="5" t="str">
        <f t="shared" si="16"/>
        <v>E2024092</v>
      </c>
      <c r="E621" s="5" t="s">
        <v>27</v>
      </c>
      <c r="F621" s="5" t="s">
        <v>28</v>
      </c>
      <c r="G621" s="5"/>
    </row>
    <row r="622" s="1" customFormat="1" ht="18" customHeight="1" spans="1:7">
      <c r="A622" s="5">
        <v>620</v>
      </c>
      <c r="B622" s="5" t="str">
        <f>"郑婉琳"</f>
        <v>郑婉琳</v>
      </c>
      <c r="C622" s="5" t="str">
        <f>"7073202410120920261569"</f>
        <v>7073202410120920261569</v>
      </c>
      <c r="D622" s="5" t="str">
        <f t="shared" si="16"/>
        <v>E2024092</v>
      </c>
      <c r="E622" s="5" t="s">
        <v>27</v>
      </c>
      <c r="F622" s="5" t="s">
        <v>28</v>
      </c>
      <c r="G622" s="5"/>
    </row>
    <row r="623" s="1" customFormat="1" ht="18" customHeight="1" spans="1:7">
      <c r="A623" s="5">
        <v>621</v>
      </c>
      <c r="B623" s="5" t="str">
        <f>"吴晓玲"</f>
        <v>吴晓玲</v>
      </c>
      <c r="C623" s="5" t="str">
        <f>"7073202410130413493137"</f>
        <v>7073202410130413493137</v>
      </c>
      <c r="D623" s="5" t="str">
        <f t="shared" si="16"/>
        <v>E2024092</v>
      </c>
      <c r="E623" s="5" t="s">
        <v>27</v>
      </c>
      <c r="F623" s="5" t="s">
        <v>28</v>
      </c>
      <c r="G623" s="5"/>
    </row>
    <row r="624" s="1" customFormat="1" ht="18" customHeight="1" spans="1:7">
      <c r="A624" s="5">
        <v>622</v>
      </c>
      <c r="B624" s="5" t="str">
        <f>"黎倩"</f>
        <v>黎倩</v>
      </c>
      <c r="C624" s="5" t="str">
        <f>"7073202410130933253194"</f>
        <v>7073202410130933253194</v>
      </c>
      <c r="D624" s="5" t="str">
        <f t="shared" si="16"/>
        <v>E2024092</v>
      </c>
      <c r="E624" s="5" t="s">
        <v>27</v>
      </c>
      <c r="F624" s="5" t="s">
        <v>28</v>
      </c>
      <c r="G624" s="5"/>
    </row>
    <row r="625" s="1" customFormat="1" ht="18" customHeight="1" spans="1:7">
      <c r="A625" s="5">
        <v>623</v>
      </c>
      <c r="B625" s="5" t="str">
        <f>"刘晓慧"</f>
        <v>刘晓慧</v>
      </c>
      <c r="C625" s="5" t="str">
        <f>"7073202410131132073308"</f>
        <v>7073202410131132073308</v>
      </c>
      <c r="D625" s="5" t="str">
        <f t="shared" si="16"/>
        <v>E2024092</v>
      </c>
      <c r="E625" s="5" t="s">
        <v>27</v>
      </c>
      <c r="F625" s="5" t="s">
        <v>28</v>
      </c>
      <c r="G625" s="5"/>
    </row>
    <row r="626" s="1" customFormat="1" ht="18" customHeight="1" spans="1:7">
      <c r="A626" s="5">
        <v>624</v>
      </c>
      <c r="B626" s="5" t="str">
        <f>"牟泉龙"</f>
        <v>牟泉龙</v>
      </c>
      <c r="C626" s="5" t="str">
        <f>"7073202410131530183529"</f>
        <v>7073202410131530183529</v>
      </c>
      <c r="D626" s="5" t="str">
        <f t="shared" si="16"/>
        <v>E2024092</v>
      </c>
      <c r="E626" s="5" t="s">
        <v>27</v>
      </c>
      <c r="F626" s="5" t="s">
        <v>28</v>
      </c>
      <c r="G626" s="5"/>
    </row>
    <row r="627" s="1" customFormat="1" ht="18" customHeight="1" spans="1:7">
      <c r="A627" s="5">
        <v>625</v>
      </c>
      <c r="B627" s="5" t="str">
        <f>"曾晨茜"</f>
        <v>曾晨茜</v>
      </c>
      <c r="C627" s="5" t="str">
        <f>"7073202410131736173642"</f>
        <v>7073202410131736173642</v>
      </c>
      <c r="D627" s="5" t="str">
        <f t="shared" si="16"/>
        <v>E2024092</v>
      </c>
      <c r="E627" s="5" t="s">
        <v>27</v>
      </c>
      <c r="F627" s="5" t="s">
        <v>28</v>
      </c>
      <c r="G627" s="5"/>
    </row>
    <row r="628" s="1" customFormat="1" ht="18" customHeight="1" spans="1:7">
      <c r="A628" s="5">
        <v>626</v>
      </c>
      <c r="B628" s="5" t="str">
        <f>"郭惜"</f>
        <v>郭惜</v>
      </c>
      <c r="C628" s="5" t="str">
        <f>"7073202410140847373984"</f>
        <v>7073202410140847373984</v>
      </c>
      <c r="D628" s="5" t="str">
        <f t="shared" si="16"/>
        <v>E2024092</v>
      </c>
      <c r="E628" s="5" t="s">
        <v>27</v>
      </c>
      <c r="F628" s="5" t="s">
        <v>28</v>
      </c>
      <c r="G628" s="5"/>
    </row>
    <row r="629" s="1" customFormat="1" ht="18" customHeight="1" spans="1:7">
      <c r="A629" s="5">
        <v>627</v>
      </c>
      <c r="B629" s="5" t="str">
        <f>"田莹"</f>
        <v>田莹</v>
      </c>
      <c r="C629" s="5" t="str">
        <f>"7073202410140920554156"</f>
        <v>7073202410140920554156</v>
      </c>
      <c r="D629" s="5" t="str">
        <f t="shared" si="16"/>
        <v>E2024092</v>
      </c>
      <c r="E629" s="5" t="s">
        <v>27</v>
      </c>
      <c r="F629" s="5" t="s">
        <v>28</v>
      </c>
      <c r="G629" s="5"/>
    </row>
    <row r="630" s="1" customFormat="1" ht="18" customHeight="1" spans="1:7">
      <c r="A630" s="5">
        <v>628</v>
      </c>
      <c r="B630" s="5" t="str">
        <f>"田家铸"</f>
        <v>田家铸</v>
      </c>
      <c r="C630" s="5" t="str">
        <f>"7073202410121112591973"</f>
        <v>7073202410121112591973</v>
      </c>
      <c r="D630" s="5" t="str">
        <f t="shared" si="16"/>
        <v>E2024092</v>
      </c>
      <c r="E630" s="5" t="s">
        <v>27</v>
      </c>
      <c r="F630" s="5" t="s">
        <v>28</v>
      </c>
      <c r="G630" s="5"/>
    </row>
    <row r="631" s="1" customFormat="1" ht="18" customHeight="1" spans="1:7">
      <c r="A631" s="5">
        <v>629</v>
      </c>
      <c r="B631" s="5" t="str">
        <f>"王玺钰"</f>
        <v>王玺钰</v>
      </c>
      <c r="C631" s="5" t="str">
        <f>"7073202410140956094370"</f>
        <v>7073202410140956094370</v>
      </c>
      <c r="D631" s="5" t="str">
        <f t="shared" si="16"/>
        <v>E2024092</v>
      </c>
      <c r="E631" s="5" t="s">
        <v>27</v>
      </c>
      <c r="F631" s="5" t="s">
        <v>28</v>
      </c>
      <c r="G631" s="5"/>
    </row>
    <row r="632" s="1" customFormat="1" ht="18" customHeight="1" spans="1:7">
      <c r="A632" s="5">
        <v>630</v>
      </c>
      <c r="B632" s="5" t="str">
        <f>"熊娇"</f>
        <v>熊娇</v>
      </c>
      <c r="C632" s="5" t="str">
        <f>"7073202410141019424474"</f>
        <v>7073202410141019424474</v>
      </c>
      <c r="D632" s="5" t="str">
        <f t="shared" si="16"/>
        <v>E2024092</v>
      </c>
      <c r="E632" s="5" t="s">
        <v>27</v>
      </c>
      <c r="F632" s="5" t="s">
        <v>28</v>
      </c>
      <c r="G632" s="5"/>
    </row>
    <row r="633" s="1" customFormat="1" ht="18" customHeight="1" spans="1:7">
      <c r="A633" s="5">
        <v>631</v>
      </c>
      <c r="B633" s="5" t="str">
        <f>"谭冰"</f>
        <v>谭冰</v>
      </c>
      <c r="C633" s="5" t="str">
        <f>"7073202410141014434449"</f>
        <v>7073202410141014434449</v>
      </c>
      <c r="D633" s="5" t="str">
        <f t="shared" si="16"/>
        <v>E2024092</v>
      </c>
      <c r="E633" s="5" t="s">
        <v>27</v>
      </c>
      <c r="F633" s="5" t="s">
        <v>28</v>
      </c>
      <c r="G633" s="5"/>
    </row>
    <row r="634" s="1" customFormat="1" ht="18" customHeight="1" spans="1:7">
      <c r="A634" s="5">
        <v>632</v>
      </c>
      <c r="B634" s="5" t="str">
        <f>"魏航"</f>
        <v>魏航</v>
      </c>
      <c r="C634" s="5" t="str">
        <f>"7073202410141116294781"</f>
        <v>7073202410141116294781</v>
      </c>
      <c r="D634" s="5" t="str">
        <f t="shared" si="16"/>
        <v>E2024092</v>
      </c>
      <c r="E634" s="5" t="s">
        <v>27</v>
      </c>
      <c r="F634" s="5" t="s">
        <v>28</v>
      </c>
      <c r="G634" s="5"/>
    </row>
    <row r="635" s="1" customFormat="1" ht="18" customHeight="1" spans="1:7">
      <c r="A635" s="5">
        <v>633</v>
      </c>
      <c r="B635" s="5" t="str">
        <f>"刘苗"</f>
        <v>刘苗</v>
      </c>
      <c r="C635" s="5" t="str">
        <f>"7073202410131417113455"</f>
        <v>7073202410131417113455</v>
      </c>
      <c r="D635" s="5" t="str">
        <f t="shared" si="16"/>
        <v>E2024092</v>
      </c>
      <c r="E635" s="5" t="s">
        <v>27</v>
      </c>
      <c r="F635" s="5" t="s">
        <v>28</v>
      </c>
      <c r="G635" s="5"/>
    </row>
    <row r="636" s="1" customFormat="1" ht="18" customHeight="1" spans="1:7">
      <c r="A636" s="5">
        <v>634</v>
      </c>
      <c r="B636" s="5" t="str">
        <f>"李珈莹"</f>
        <v>李珈莹</v>
      </c>
      <c r="C636" s="5" t="str">
        <f>"7073202410141524275416"</f>
        <v>7073202410141524275416</v>
      </c>
      <c r="D636" s="5" t="str">
        <f t="shared" si="16"/>
        <v>E2024092</v>
      </c>
      <c r="E636" s="5" t="s">
        <v>27</v>
      </c>
      <c r="F636" s="5" t="s">
        <v>28</v>
      </c>
      <c r="G636" s="5"/>
    </row>
    <row r="637" s="1" customFormat="1" ht="18" customHeight="1" spans="1:7">
      <c r="A637" s="5">
        <v>635</v>
      </c>
      <c r="B637" s="5" t="str">
        <f>"黄丹"</f>
        <v>黄丹</v>
      </c>
      <c r="C637" s="5" t="str">
        <f>"7073202410141550515496"</f>
        <v>7073202410141550515496</v>
      </c>
      <c r="D637" s="5" t="str">
        <f t="shared" si="16"/>
        <v>E2024092</v>
      </c>
      <c r="E637" s="5" t="s">
        <v>27</v>
      </c>
      <c r="F637" s="5" t="s">
        <v>28</v>
      </c>
      <c r="G637" s="5"/>
    </row>
    <row r="638" s="1" customFormat="1" ht="18" customHeight="1" spans="1:7">
      <c r="A638" s="5">
        <v>636</v>
      </c>
      <c r="B638" s="5" t="str">
        <f>"朱晓倩"</f>
        <v>朱晓倩</v>
      </c>
      <c r="C638" s="5" t="str">
        <f>"7073202410141619525572"</f>
        <v>7073202410141619525572</v>
      </c>
      <c r="D638" s="5" t="str">
        <f t="shared" si="16"/>
        <v>E2024092</v>
      </c>
      <c r="E638" s="5" t="s">
        <v>27</v>
      </c>
      <c r="F638" s="5" t="s">
        <v>28</v>
      </c>
      <c r="G638" s="5"/>
    </row>
    <row r="639" s="1" customFormat="1" ht="18" customHeight="1" spans="1:7">
      <c r="A639" s="5">
        <v>637</v>
      </c>
      <c r="B639" s="5" t="str">
        <f>"叶佳丽"</f>
        <v>叶佳丽</v>
      </c>
      <c r="C639" s="5" t="str">
        <f>"7073202410141625195589"</f>
        <v>7073202410141625195589</v>
      </c>
      <c r="D639" s="5" t="str">
        <f t="shared" si="16"/>
        <v>E2024092</v>
      </c>
      <c r="E639" s="5" t="s">
        <v>27</v>
      </c>
      <c r="F639" s="5" t="s">
        <v>28</v>
      </c>
      <c r="G639" s="5"/>
    </row>
    <row r="640" s="1" customFormat="1" ht="18" customHeight="1" spans="1:7">
      <c r="A640" s="5">
        <v>638</v>
      </c>
      <c r="B640" s="5" t="str">
        <f>"洪敏"</f>
        <v>洪敏</v>
      </c>
      <c r="C640" s="5" t="str">
        <f>"7073202410141850275888"</f>
        <v>7073202410141850275888</v>
      </c>
      <c r="D640" s="5" t="str">
        <f t="shared" si="16"/>
        <v>E2024092</v>
      </c>
      <c r="E640" s="5" t="s">
        <v>27</v>
      </c>
      <c r="F640" s="5" t="s">
        <v>28</v>
      </c>
      <c r="G640" s="5"/>
    </row>
    <row r="641" s="1" customFormat="1" ht="18" customHeight="1" spans="1:7">
      <c r="A641" s="5">
        <v>639</v>
      </c>
      <c r="B641" s="5" t="str">
        <f>"谭奇"</f>
        <v>谭奇</v>
      </c>
      <c r="C641" s="5" t="str">
        <f>"7073202410150903006530"</f>
        <v>7073202410150903006530</v>
      </c>
      <c r="D641" s="5" t="str">
        <f t="shared" si="16"/>
        <v>E2024092</v>
      </c>
      <c r="E641" s="5" t="s">
        <v>27</v>
      </c>
      <c r="F641" s="5" t="s">
        <v>28</v>
      </c>
      <c r="G641" s="5"/>
    </row>
    <row r="642" s="1" customFormat="1" ht="18" customHeight="1" spans="1:7">
      <c r="A642" s="5">
        <v>640</v>
      </c>
      <c r="B642" s="5" t="str">
        <f>"彭琰"</f>
        <v>彭琰</v>
      </c>
      <c r="C642" s="5" t="str">
        <f>"7073202410131503383492"</f>
        <v>7073202410131503383492</v>
      </c>
      <c r="D642" s="5" t="str">
        <f t="shared" si="16"/>
        <v>E2024092</v>
      </c>
      <c r="E642" s="5" t="s">
        <v>27</v>
      </c>
      <c r="F642" s="5" t="s">
        <v>28</v>
      </c>
      <c r="G642" s="5"/>
    </row>
    <row r="643" s="1" customFormat="1" ht="18" customHeight="1" spans="1:7">
      <c r="A643" s="5">
        <v>641</v>
      </c>
      <c r="B643" s="5" t="str">
        <f>"胡冬"</f>
        <v>胡冬</v>
      </c>
      <c r="C643" s="5" t="str">
        <f>"7073202410150921236703"</f>
        <v>7073202410150921236703</v>
      </c>
      <c r="D643" s="5" t="str">
        <f t="shared" si="16"/>
        <v>E2024092</v>
      </c>
      <c r="E643" s="5" t="s">
        <v>27</v>
      </c>
      <c r="F643" s="5" t="s">
        <v>28</v>
      </c>
      <c r="G643" s="5"/>
    </row>
    <row r="644" s="1" customFormat="1" ht="18" customHeight="1" spans="1:7">
      <c r="A644" s="5">
        <v>642</v>
      </c>
      <c r="B644" s="5" t="str">
        <f>"吴娇莺"</f>
        <v>吴娇莺</v>
      </c>
      <c r="C644" s="5" t="str">
        <f>"7073202410150938426849"</f>
        <v>7073202410150938426849</v>
      </c>
      <c r="D644" s="5" t="str">
        <f t="shared" si="16"/>
        <v>E2024092</v>
      </c>
      <c r="E644" s="5" t="s">
        <v>27</v>
      </c>
      <c r="F644" s="5" t="s">
        <v>28</v>
      </c>
      <c r="G644" s="5"/>
    </row>
    <row r="645" s="1" customFormat="1" ht="18" customHeight="1" spans="1:7">
      <c r="A645" s="5">
        <v>643</v>
      </c>
      <c r="B645" s="5" t="str">
        <f>"田雪秀"</f>
        <v>田雪秀</v>
      </c>
      <c r="C645" s="5" t="str">
        <f>"7073202410151030557226"</f>
        <v>7073202410151030557226</v>
      </c>
      <c r="D645" s="5" t="str">
        <f t="shared" si="16"/>
        <v>E2024092</v>
      </c>
      <c r="E645" s="5" t="s">
        <v>27</v>
      </c>
      <c r="F645" s="5" t="s">
        <v>28</v>
      </c>
      <c r="G645" s="5"/>
    </row>
    <row r="646" s="1" customFormat="1" ht="18" customHeight="1" spans="1:7">
      <c r="A646" s="5">
        <v>644</v>
      </c>
      <c r="B646" s="5" t="str">
        <f>"邓艳"</f>
        <v>邓艳</v>
      </c>
      <c r="C646" s="5" t="str">
        <f>"7073202410151443288278"</f>
        <v>7073202410151443288278</v>
      </c>
      <c r="D646" s="5" t="str">
        <f t="shared" si="16"/>
        <v>E2024092</v>
      </c>
      <c r="E646" s="5" t="s">
        <v>27</v>
      </c>
      <c r="F646" s="5" t="s">
        <v>28</v>
      </c>
      <c r="G646" s="5"/>
    </row>
    <row r="647" s="1" customFormat="1" ht="18" customHeight="1" spans="1:7">
      <c r="A647" s="5">
        <v>645</v>
      </c>
      <c r="B647" s="5" t="str">
        <f>"郭俊"</f>
        <v>郭俊</v>
      </c>
      <c r="C647" s="5" t="str">
        <f>"7073202410151544288587"</f>
        <v>7073202410151544288587</v>
      </c>
      <c r="D647" s="5" t="str">
        <f t="shared" si="16"/>
        <v>E2024092</v>
      </c>
      <c r="E647" s="5" t="s">
        <v>27</v>
      </c>
      <c r="F647" s="5" t="s">
        <v>28</v>
      </c>
      <c r="G647" s="5"/>
    </row>
    <row r="648" s="1" customFormat="1" ht="18" customHeight="1" spans="1:7">
      <c r="A648" s="5">
        <v>646</v>
      </c>
      <c r="B648" s="5" t="str">
        <f>"黄黎"</f>
        <v>黄黎</v>
      </c>
      <c r="C648" s="5" t="str">
        <f>"7073202410151550578625"</f>
        <v>7073202410151550578625</v>
      </c>
      <c r="D648" s="5" t="str">
        <f t="shared" si="16"/>
        <v>E2024092</v>
      </c>
      <c r="E648" s="5" t="s">
        <v>27</v>
      </c>
      <c r="F648" s="5" t="s">
        <v>28</v>
      </c>
      <c r="G648" s="5"/>
    </row>
    <row r="649" s="1" customFormat="1" ht="18" customHeight="1" spans="1:7">
      <c r="A649" s="5">
        <v>647</v>
      </c>
      <c r="B649" s="5" t="str">
        <f>"陈义"</f>
        <v>陈义</v>
      </c>
      <c r="C649" s="5" t="str">
        <f>"7073202410141602595529"</f>
        <v>7073202410141602595529</v>
      </c>
      <c r="D649" s="5" t="str">
        <f t="shared" si="16"/>
        <v>E2024092</v>
      </c>
      <c r="E649" s="5" t="s">
        <v>27</v>
      </c>
      <c r="F649" s="5" t="s">
        <v>28</v>
      </c>
      <c r="G649" s="5"/>
    </row>
    <row r="650" s="1" customFormat="1" ht="18" customHeight="1" spans="1:7">
      <c r="A650" s="5">
        <v>648</v>
      </c>
      <c r="B650" s="5" t="str">
        <f>"陈琳"</f>
        <v>陈琳</v>
      </c>
      <c r="C650" s="5" t="str">
        <f>"70732024101523390910480"</f>
        <v>70732024101523390910480</v>
      </c>
      <c r="D650" s="5" t="str">
        <f t="shared" si="16"/>
        <v>E2024092</v>
      </c>
      <c r="E650" s="5" t="s">
        <v>27</v>
      </c>
      <c r="F650" s="5" t="s">
        <v>28</v>
      </c>
      <c r="G650" s="5"/>
    </row>
    <row r="651" s="1" customFormat="1" ht="18" customHeight="1" spans="1:7">
      <c r="A651" s="5">
        <v>649</v>
      </c>
      <c r="B651" s="5" t="str">
        <f>"李倩"</f>
        <v>李倩</v>
      </c>
      <c r="C651" s="5" t="str">
        <f>"70732024101609244610940"</f>
        <v>70732024101609244610940</v>
      </c>
      <c r="D651" s="5" t="str">
        <f t="shared" si="16"/>
        <v>E2024092</v>
      </c>
      <c r="E651" s="5" t="s">
        <v>27</v>
      </c>
      <c r="F651" s="5" t="s">
        <v>28</v>
      </c>
      <c r="G651" s="5"/>
    </row>
    <row r="652" s="1" customFormat="1" ht="18" customHeight="1" spans="1:7">
      <c r="A652" s="5">
        <v>650</v>
      </c>
      <c r="B652" s="5" t="str">
        <f>"黄愉"</f>
        <v>黄愉</v>
      </c>
      <c r="C652" s="5" t="str">
        <f>"70732024101611403011805"</f>
        <v>70732024101611403011805</v>
      </c>
      <c r="D652" s="5" t="str">
        <f t="shared" si="16"/>
        <v>E2024092</v>
      </c>
      <c r="E652" s="5" t="s">
        <v>27</v>
      </c>
      <c r="F652" s="5" t="s">
        <v>28</v>
      </c>
      <c r="G652" s="5"/>
    </row>
    <row r="653" s="1" customFormat="1" ht="18" customHeight="1" spans="1:7">
      <c r="A653" s="5">
        <v>651</v>
      </c>
      <c r="B653" s="5" t="str">
        <f>"陈珍"</f>
        <v>陈珍</v>
      </c>
      <c r="C653" s="5" t="str">
        <f>"70732024101610165311288"</f>
        <v>70732024101610165311288</v>
      </c>
      <c r="D653" s="5" t="str">
        <f t="shared" si="16"/>
        <v>E2024092</v>
      </c>
      <c r="E653" s="5" t="s">
        <v>27</v>
      </c>
      <c r="F653" s="5" t="s">
        <v>28</v>
      </c>
      <c r="G653" s="5"/>
    </row>
    <row r="654" s="1" customFormat="1" ht="18" customHeight="1" spans="1:7">
      <c r="A654" s="5">
        <v>652</v>
      </c>
      <c r="B654" s="5" t="str">
        <f>"周芳羽"</f>
        <v>周芳羽</v>
      </c>
      <c r="C654" s="5" t="str">
        <f>"7073202410151547218604"</f>
        <v>7073202410151547218604</v>
      </c>
      <c r="D654" s="5" t="str">
        <f t="shared" si="16"/>
        <v>E2024092</v>
      </c>
      <c r="E654" s="5" t="s">
        <v>27</v>
      </c>
      <c r="F654" s="5" t="s">
        <v>28</v>
      </c>
      <c r="G654" s="5"/>
    </row>
    <row r="655" s="1" customFormat="1" ht="18" customHeight="1" spans="1:7">
      <c r="A655" s="5">
        <v>653</v>
      </c>
      <c r="B655" s="5" t="str">
        <f>"陈倩"</f>
        <v>陈倩</v>
      </c>
      <c r="C655" s="5" t="str">
        <f>"7073202410121954372915"</f>
        <v>7073202410121954372915</v>
      </c>
      <c r="D655" s="5" t="str">
        <f t="shared" si="16"/>
        <v>E2024092</v>
      </c>
      <c r="E655" s="5" t="s">
        <v>27</v>
      </c>
      <c r="F655" s="5" t="s">
        <v>28</v>
      </c>
      <c r="G655" s="5"/>
    </row>
    <row r="656" s="1" customFormat="1" ht="18" customHeight="1" spans="1:7">
      <c r="A656" s="5">
        <v>654</v>
      </c>
      <c r="B656" s="5" t="str">
        <f>"罗涛"</f>
        <v>罗涛</v>
      </c>
      <c r="C656" s="5" t="str">
        <f>"7073202410151813249096"</f>
        <v>7073202410151813249096</v>
      </c>
      <c r="D656" s="5" t="str">
        <f t="shared" si="16"/>
        <v>E2024092</v>
      </c>
      <c r="E656" s="5" t="s">
        <v>27</v>
      </c>
      <c r="F656" s="5" t="s">
        <v>28</v>
      </c>
      <c r="G656" s="5"/>
    </row>
    <row r="657" s="1" customFormat="1" ht="18" customHeight="1" spans="1:7">
      <c r="A657" s="5">
        <v>655</v>
      </c>
      <c r="B657" s="5" t="str">
        <f>"刘湘"</f>
        <v>刘湘</v>
      </c>
      <c r="C657" s="5" t="str">
        <f>"70732024101620262614499"</f>
        <v>70732024101620262614499</v>
      </c>
      <c r="D657" s="5" t="str">
        <f t="shared" si="16"/>
        <v>E2024092</v>
      </c>
      <c r="E657" s="5" t="s">
        <v>27</v>
      </c>
      <c r="F657" s="5" t="s">
        <v>28</v>
      </c>
      <c r="G657" s="5"/>
    </row>
    <row r="658" s="1" customFormat="1" ht="18" customHeight="1" spans="1:7">
      <c r="A658" s="5">
        <v>656</v>
      </c>
      <c r="B658" s="5" t="str">
        <f>"刘正午"</f>
        <v>刘正午</v>
      </c>
      <c r="C658" s="5" t="str">
        <f>"70732024101620413914581"</f>
        <v>70732024101620413914581</v>
      </c>
      <c r="D658" s="5" t="str">
        <f t="shared" si="16"/>
        <v>E2024092</v>
      </c>
      <c r="E658" s="5" t="s">
        <v>27</v>
      </c>
      <c r="F658" s="5" t="s">
        <v>28</v>
      </c>
      <c r="G658" s="5"/>
    </row>
    <row r="659" s="1" customFormat="1" ht="18" customHeight="1" spans="1:7">
      <c r="A659" s="5">
        <v>657</v>
      </c>
      <c r="B659" s="5" t="str">
        <f>"田惠文"</f>
        <v>田惠文</v>
      </c>
      <c r="C659" s="5" t="str">
        <f>"70732024101620064514409"</f>
        <v>70732024101620064514409</v>
      </c>
      <c r="D659" s="5" t="str">
        <f t="shared" si="16"/>
        <v>E2024092</v>
      </c>
      <c r="E659" s="5" t="s">
        <v>27</v>
      </c>
      <c r="F659" s="5" t="s">
        <v>28</v>
      </c>
      <c r="G659" s="5"/>
    </row>
    <row r="660" s="1" customFormat="1" ht="18" customHeight="1" spans="1:7">
      <c r="A660" s="5">
        <v>658</v>
      </c>
      <c r="B660" s="5" t="str">
        <f>"杨丽娜"</f>
        <v>杨丽娜</v>
      </c>
      <c r="C660" s="5" t="str">
        <f>"70732024101711525217127"</f>
        <v>70732024101711525217127</v>
      </c>
      <c r="D660" s="5" t="str">
        <f t="shared" si="16"/>
        <v>E2024092</v>
      </c>
      <c r="E660" s="5" t="s">
        <v>27</v>
      </c>
      <c r="F660" s="5" t="s">
        <v>28</v>
      </c>
      <c r="G660" s="5"/>
    </row>
    <row r="661" s="1" customFormat="1" ht="18" customHeight="1" spans="1:7">
      <c r="A661" s="5">
        <v>659</v>
      </c>
      <c r="B661" s="5" t="str">
        <f>"曾莉斯娜"</f>
        <v>曾莉斯娜</v>
      </c>
      <c r="C661" s="5" t="str">
        <f>"70732024101715192718438"</f>
        <v>70732024101715192718438</v>
      </c>
      <c r="D661" s="5" t="str">
        <f t="shared" si="16"/>
        <v>E2024092</v>
      </c>
      <c r="E661" s="5" t="s">
        <v>27</v>
      </c>
      <c r="F661" s="5" t="s">
        <v>28</v>
      </c>
      <c r="G661" s="5"/>
    </row>
    <row r="662" s="1" customFormat="1" ht="18" customHeight="1" spans="1:7">
      <c r="A662" s="5">
        <v>660</v>
      </c>
      <c r="B662" s="5" t="str">
        <f>"李建华"</f>
        <v>李建华</v>
      </c>
      <c r="C662" s="5" t="str">
        <f>"70732024101715562718723"</f>
        <v>70732024101715562718723</v>
      </c>
      <c r="D662" s="5" t="str">
        <f t="shared" si="16"/>
        <v>E2024092</v>
      </c>
      <c r="E662" s="5" t="s">
        <v>27</v>
      </c>
      <c r="F662" s="5" t="s">
        <v>28</v>
      </c>
      <c r="G662" s="5"/>
    </row>
    <row r="663" s="1" customFormat="1" ht="18" customHeight="1" spans="1:7">
      <c r="A663" s="5">
        <v>661</v>
      </c>
      <c r="B663" s="5" t="str">
        <f>"陈行锋"</f>
        <v>陈行锋</v>
      </c>
      <c r="C663" s="5" t="str">
        <f>"70732024101716335819045"</f>
        <v>70732024101716335819045</v>
      </c>
      <c r="D663" s="5" t="str">
        <f t="shared" si="16"/>
        <v>E2024092</v>
      </c>
      <c r="E663" s="5" t="s">
        <v>27</v>
      </c>
      <c r="F663" s="5" t="s">
        <v>28</v>
      </c>
      <c r="G663" s="5"/>
    </row>
    <row r="664" s="1" customFormat="1" ht="18" customHeight="1" spans="1:7">
      <c r="A664" s="5">
        <v>662</v>
      </c>
      <c r="B664" s="5" t="str">
        <f>"李艳"</f>
        <v>李艳</v>
      </c>
      <c r="C664" s="5" t="str">
        <f>"70732024101717392719484"</f>
        <v>70732024101717392719484</v>
      </c>
      <c r="D664" s="5" t="str">
        <f t="shared" si="16"/>
        <v>E2024092</v>
      </c>
      <c r="E664" s="5" t="s">
        <v>27</v>
      </c>
      <c r="F664" s="5" t="s">
        <v>28</v>
      </c>
      <c r="G664" s="5"/>
    </row>
    <row r="665" s="1" customFormat="1" ht="18" customHeight="1" spans="1:7">
      <c r="A665" s="5">
        <v>663</v>
      </c>
      <c r="B665" s="5" t="str">
        <f>"毕洪瑞"</f>
        <v>毕洪瑞</v>
      </c>
      <c r="C665" s="5" t="str">
        <f>"70732024101719571020361"</f>
        <v>70732024101719571020361</v>
      </c>
      <c r="D665" s="5" t="str">
        <f t="shared" si="16"/>
        <v>E2024092</v>
      </c>
      <c r="E665" s="5" t="s">
        <v>27</v>
      </c>
      <c r="F665" s="5" t="s">
        <v>28</v>
      </c>
      <c r="G665" s="5"/>
    </row>
    <row r="666" s="1" customFormat="1" ht="18" customHeight="1" spans="1:7">
      <c r="A666" s="5">
        <v>664</v>
      </c>
      <c r="B666" s="5" t="str">
        <f>"彭玉娇"</f>
        <v>彭玉娇</v>
      </c>
      <c r="C666" s="5" t="str">
        <f>"7073202410142120366184"</f>
        <v>7073202410142120366184</v>
      </c>
      <c r="D666" s="5" t="str">
        <f t="shared" si="16"/>
        <v>E2024092</v>
      </c>
      <c r="E666" s="5" t="s">
        <v>27</v>
      </c>
      <c r="F666" s="5" t="s">
        <v>28</v>
      </c>
      <c r="G666" s="5"/>
    </row>
    <row r="667" s="1" customFormat="1" ht="18" customHeight="1" spans="1:7">
      <c r="A667" s="5">
        <v>665</v>
      </c>
      <c r="B667" s="5" t="str">
        <f>"林明"</f>
        <v>林明</v>
      </c>
      <c r="C667" s="5" t="str">
        <f>"70732024101808475521964"</f>
        <v>70732024101808475521964</v>
      </c>
      <c r="D667" s="5" t="str">
        <f t="shared" si="16"/>
        <v>E2024092</v>
      </c>
      <c r="E667" s="5" t="s">
        <v>27</v>
      </c>
      <c r="F667" s="5" t="s">
        <v>28</v>
      </c>
      <c r="G667" s="5"/>
    </row>
    <row r="668" s="1" customFormat="1" ht="18" customHeight="1" spans="1:7">
      <c r="A668" s="5">
        <v>666</v>
      </c>
      <c r="B668" s="5" t="str">
        <f>"胡慧"</f>
        <v>胡慧</v>
      </c>
      <c r="C668" s="5" t="str">
        <f>"70732024101809355422357"</f>
        <v>70732024101809355422357</v>
      </c>
      <c r="D668" s="5" t="str">
        <f t="shared" si="16"/>
        <v>E2024092</v>
      </c>
      <c r="E668" s="5" t="s">
        <v>27</v>
      </c>
      <c r="F668" s="5" t="s">
        <v>28</v>
      </c>
      <c r="G668" s="5"/>
    </row>
    <row r="669" s="1" customFormat="1" ht="18" customHeight="1" spans="1:7">
      <c r="A669" s="5">
        <v>667</v>
      </c>
      <c r="B669" s="5" t="str">
        <f>"杨寒婷"</f>
        <v>杨寒婷</v>
      </c>
      <c r="C669" s="5" t="str">
        <f>"70732024101815320424984"</f>
        <v>70732024101815320424984</v>
      </c>
      <c r="D669" s="5" t="str">
        <f t="shared" si="16"/>
        <v>E2024092</v>
      </c>
      <c r="E669" s="5" t="s">
        <v>27</v>
      </c>
      <c r="F669" s="5" t="s">
        <v>28</v>
      </c>
      <c r="G669" s="5"/>
    </row>
    <row r="670" s="1" customFormat="1" ht="18" customHeight="1" spans="1:7">
      <c r="A670" s="5">
        <v>668</v>
      </c>
      <c r="B670" s="5" t="str">
        <f>"杨欢"</f>
        <v>杨欢</v>
      </c>
      <c r="C670" s="5" t="str">
        <f>"70732024101816351425538"</f>
        <v>70732024101816351425538</v>
      </c>
      <c r="D670" s="5" t="str">
        <f t="shared" ref="D670:D724" si="17">"E2024092"</f>
        <v>E2024092</v>
      </c>
      <c r="E670" s="5" t="s">
        <v>27</v>
      </c>
      <c r="F670" s="5" t="s">
        <v>28</v>
      </c>
      <c r="G670" s="5"/>
    </row>
    <row r="671" s="1" customFormat="1" ht="18" customHeight="1" spans="1:7">
      <c r="A671" s="5">
        <v>669</v>
      </c>
      <c r="B671" s="5" t="str">
        <f>"宋欢"</f>
        <v>宋欢</v>
      </c>
      <c r="C671" s="5" t="str">
        <f>"70732024101900294227743"</f>
        <v>70732024101900294227743</v>
      </c>
      <c r="D671" s="5" t="str">
        <f t="shared" si="17"/>
        <v>E2024092</v>
      </c>
      <c r="E671" s="5" t="s">
        <v>27</v>
      </c>
      <c r="F671" s="5" t="s">
        <v>28</v>
      </c>
      <c r="G671" s="5"/>
    </row>
    <row r="672" s="1" customFormat="1" ht="18" customHeight="1" spans="1:7">
      <c r="A672" s="5">
        <v>670</v>
      </c>
      <c r="B672" s="5" t="str">
        <f>"李漫"</f>
        <v>李漫</v>
      </c>
      <c r="C672" s="5" t="str">
        <f>"70732024101913443128751"</f>
        <v>70732024101913443128751</v>
      </c>
      <c r="D672" s="5" t="str">
        <f t="shared" si="17"/>
        <v>E2024092</v>
      </c>
      <c r="E672" s="5" t="s">
        <v>27</v>
      </c>
      <c r="F672" s="5" t="s">
        <v>28</v>
      </c>
      <c r="G672" s="5"/>
    </row>
    <row r="673" s="1" customFormat="1" ht="18" customHeight="1" spans="1:7">
      <c r="A673" s="5">
        <v>671</v>
      </c>
      <c r="B673" s="5" t="str">
        <f>"范绪良"</f>
        <v>范绪良</v>
      </c>
      <c r="C673" s="5" t="str">
        <f>"70732024101717591519608"</f>
        <v>70732024101717591519608</v>
      </c>
      <c r="D673" s="5" t="str">
        <f t="shared" si="17"/>
        <v>E2024092</v>
      </c>
      <c r="E673" s="5" t="s">
        <v>27</v>
      </c>
      <c r="F673" s="5" t="s">
        <v>28</v>
      </c>
      <c r="G673" s="5"/>
    </row>
    <row r="674" s="1" customFormat="1" ht="18" customHeight="1" spans="1:7">
      <c r="A674" s="5">
        <v>672</v>
      </c>
      <c r="B674" s="5" t="str">
        <f>"陈秀婷"</f>
        <v>陈秀婷</v>
      </c>
      <c r="C674" s="5" t="str">
        <f>"70732024101921134030088"</f>
        <v>70732024101921134030088</v>
      </c>
      <c r="D674" s="5" t="str">
        <f t="shared" si="17"/>
        <v>E2024092</v>
      </c>
      <c r="E674" s="5" t="s">
        <v>27</v>
      </c>
      <c r="F674" s="5" t="s">
        <v>28</v>
      </c>
      <c r="G674" s="5"/>
    </row>
    <row r="675" s="1" customFormat="1" ht="18" customHeight="1" spans="1:7">
      <c r="A675" s="5">
        <v>673</v>
      </c>
      <c r="B675" s="5" t="str">
        <f>"田野"</f>
        <v>田野</v>
      </c>
      <c r="C675" s="5" t="str">
        <f>"70732024102011025330997"</f>
        <v>70732024102011025330997</v>
      </c>
      <c r="D675" s="5" t="str">
        <f t="shared" si="17"/>
        <v>E2024092</v>
      </c>
      <c r="E675" s="5" t="s">
        <v>27</v>
      </c>
      <c r="F675" s="5" t="s">
        <v>28</v>
      </c>
      <c r="G675" s="5"/>
    </row>
    <row r="676" s="1" customFormat="1" ht="18" customHeight="1" spans="1:7">
      <c r="A676" s="5">
        <v>674</v>
      </c>
      <c r="B676" s="5" t="str">
        <f>"朱怀念"</f>
        <v>朱怀念</v>
      </c>
      <c r="C676" s="5" t="str">
        <f>"70732024102015221531751"</f>
        <v>70732024102015221531751</v>
      </c>
      <c r="D676" s="5" t="str">
        <f t="shared" si="17"/>
        <v>E2024092</v>
      </c>
      <c r="E676" s="5" t="s">
        <v>27</v>
      </c>
      <c r="F676" s="5" t="s">
        <v>28</v>
      </c>
      <c r="G676" s="5"/>
    </row>
    <row r="677" s="1" customFormat="1" ht="18" customHeight="1" spans="1:7">
      <c r="A677" s="5">
        <v>675</v>
      </c>
      <c r="B677" s="5" t="str">
        <f>"喻丽"</f>
        <v>喻丽</v>
      </c>
      <c r="C677" s="5" t="str">
        <f>"7073202410141615595564"</f>
        <v>7073202410141615595564</v>
      </c>
      <c r="D677" s="5" t="str">
        <f t="shared" si="17"/>
        <v>E2024092</v>
      </c>
      <c r="E677" s="5" t="s">
        <v>27</v>
      </c>
      <c r="F677" s="5" t="s">
        <v>28</v>
      </c>
      <c r="G677" s="5"/>
    </row>
    <row r="678" s="1" customFormat="1" ht="18" customHeight="1" spans="1:7">
      <c r="A678" s="5">
        <v>676</v>
      </c>
      <c r="B678" s="5" t="str">
        <f>"杨发江"</f>
        <v>杨发江</v>
      </c>
      <c r="C678" s="5" t="str">
        <f>"7073202410121059561937"</f>
        <v>7073202410121059561937</v>
      </c>
      <c r="D678" s="5" t="str">
        <f t="shared" si="17"/>
        <v>E2024092</v>
      </c>
      <c r="E678" s="5" t="s">
        <v>27</v>
      </c>
      <c r="F678" s="5" t="s">
        <v>28</v>
      </c>
      <c r="G678" s="5"/>
    </row>
    <row r="679" s="1" customFormat="1" ht="18" customHeight="1" spans="1:7">
      <c r="A679" s="5">
        <v>677</v>
      </c>
      <c r="B679" s="5" t="str">
        <f>"游娇"</f>
        <v>游娇</v>
      </c>
      <c r="C679" s="5" t="str">
        <f>"7073202410120938201639"</f>
        <v>7073202410120938201639</v>
      </c>
      <c r="D679" s="5" t="str">
        <f t="shared" si="17"/>
        <v>E2024092</v>
      </c>
      <c r="E679" s="5" t="s">
        <v>27</v>
      </c>
      <c r="F679" s="5" t="s">
        <v>28</v>
      </c>
      <c r="G679" s="5"/>
    </row>
    <row r="680" s="1" customFormat="1" ht="18" customHeight="1" spans="1:7">
      <c r="A680" s="5">
        <v>678</v>
      </c>
      <c r="B680" s="5" t="str">
        <f>"杨春娥"</f>
        <v>杨春娥</v>
      </c>
      <c r="C680" s="5" t="str">
        <f>"70732024102110270935590"</f>
        <v>70732024102110270935590</v>
      </c>
      <c r="D680" s="5" t="str">
        <f t="shared" si="17"/>
        <v>E2024092</v>
      </c>
      <c r="E680" s="5" t="s">
        <v>27</v>
      </c>
      <c r="F680" s="5" t="s">
        <v>28</v>
      </c>
      <c r="G680" s="5"/>
    </row>
    <row r="681" s="1" customFormat="1" ht="18" customHeight="1" spans="1:7">
      <c r="A681" s="5">
        <v>679</v>
      </c>
      <c r="B681" s="5" t="str">
        <f>"安胡蓉"</f>
        <v>安胡蓉</v>
      </c>
      <c r="C681" s="5" t="str">
        <f>"70732024102110371135769"</f>
        <v>70732024102110371135769</v>
      </c>
      <c r="D681" s="5" t="str">
        <f t="shared" si="17"/>
        <v>E2024092</v>
      </c>
      <c r="E681" s="5" t="s">
        <v>27</v>
      </c>
      <c r="F681" s="5" t="s">
        <v>28</v>
      </c>
      <c r="G681" s="5"/>
    </row>
    <row r="682" s="1" customFormat="1" ht="18" customHeight="1" spans="1:7">
      <c r="A682" s="5">
        <v>680</v>
      </c>
      <c r="B682" s="5" t="str">
        <f>"易楚涵"</f>
        <v>易楚涵</v>
      </c>
      <c r="C682" s="5" t="str">
        <f>"70732024102112382237267"</f>
        <v>70732024102112382237267</v>
      </c>
      <c r="D682" s="5" t="str">
        <f t="shared" si="17"/>
        <v>E2024092</v>
      </c>
      <c r="E682" s="5" t="s">
        <v>27</v>
      </c>
      <c r="F682" s="5" t="s">
        <v>28</v>
      </c>
      <c r="G682" s="5"/>
    </row>
    <row r="683" s="1" customFormat="1" ht="18" customHeight="1" spans="1:7">
      <c r="A683" s="5">
        <v>681</v>
      </c>
      <c r="B683" s="5" t="str">
        <f>"赵星星"</f>
        <v>赵星星</v>
      </c>
      <c r="C683" s="5" t="str">
        <f>"70732024102116344239836"</f>
        <v>70732024102116344239836</v>
      </c>
      <c r="D683" s="5" t="str">
        <f t="shared" si="17"/>
        <v>E2024092</v>
      </c>
      <c r="E683" s="5" t="s">
        <v>27</v>
      </c>
      <c r="F683" s="5" t="s">
        <v>28</v>
      </c>
      <c r="G683" s="5"/>
    </row>
    <row r="684" s="1" customFormat="1" ht="18" customHeight="1" spans="1:7">
      <c r="A684" s="5">
        <v>682</v>
      </c>
      <c r="B684" s="5" t="str">
        <f>"李春红"</f>
        <v>李春红</v>
      </c>
      <c r="C684" s="5" t="str">
        <f>"70732024102117042440214"</f>
        <v>70732024102117042440214</v>
      </c>
      <c r="D684" s="5" t="str">
        <f t="shared" si="17"/>
        <v>E2024092</v>
      </c>
      <c r="E684" s="5" t="s">
        <v>27</v>
      </c>
      <c r="F684" s="5" t="s">
        <v>28</v>
      </c>
      <c r="G684" s="5"/>
    </row>
    <row r="685" s="1" customFormat="1" ht="18" customHeight="1" spans="1:7">
      <c r="A685" s="5">
        <v>683</v>
      </c>
      <c r="B685" s="5" t="str">
        <f>"肖倩"</f>
        <v>肖倩</v>
      </c>
      <c r="C685" s="5" t="str">
        <f>"70732024102123003542889"</f>
        <v>70732024102123003542889</v>
      </c>
      <c r="D685" s="5" t="str">
        <f t="shared" si="17"/>
        <v>E2024092</v>
      </c>
      <c r="E685" s="5" t="s">
        <v>27</v>
      </c>
      <c r="F685" s="5" t="s">
        <v>28</v>
      </c>
      <c r="G685" s="5"/>
    </row>
    <row r="686" s="1" customFormat="1" ht="18" customHeight="1" spans="1:7">
      <c r="A686" s="5">
        <v>684</v>
      </c>
      <c r="B686" s="5" t="str">
        <f>"李淼淼"</f>
        <v>李淼淼</v>
      </c>
      <c r="C686" s="5" t="str">
        <f>"70732024102123403043029"</f>
        <v>70732024102123403043029</v>
      </c>
      <c r="D686" s="5" t="str">
        <f t="shared" si="17"/>
        <v>E2024092</v>
      </c>
      <c r="E686" s="5" t="s">
        <v>27</v>
      </c>
      <c r="F686" s="5" t="s">
        <v>28</v>
      </c>
      <c r="G686" s="5"/>
    </row>
    <row r="687" s="1" customFormat="1" ht="18" customHeight="1" spans="1:7">
      <c r="A687" s="5">
        <v>685</v>
      </c>
      <c r="B687" s="5" t="str">
        <f>"肖艳"</f>
        <v>肖艳</v>
      </c>
      <c r="C687" s="5" t="str">
        <f>"70732024102209242743888"</f>
        <v>70732024102209242743888</v>
      </c>
      <c r="D687" s="5" t="str">
        <f t="shared" si="17"/>
        <v>E2024092</v>
      </c>
      <c r="E687" s="5" t="s">
        <v>27</v>
      </c>
      <c r="F687" s="5" t="s">
        <v>28</v>
      </c>
      <c r="G687" s="5"/>
    </row>
    <row r="688" s="1" customFormat="1" ht="18" customHeight="1" spans="1:7">
      <c r="A688" s="5">
        <v>686</v>
      </c>
      <c r="B688" s="5" t="str">
        <f>"贺文倩"</f>
        <v>贺文倩</v>
      </c>
      <c r="C688" s="5" t="str">
        <f>"70732024102210500444844"</f>
        <v>70732024102210500444844</v>
      </c>
      <c r="D688" s="5" t="str">
        <f t="shared" si="17"/>
        <v>E2024092</v>
      </c>
      <c r="E688" s="5" t="s">
        <v>27</v>
      </c>
      <c r="F688" s="5" t="s">
        <v>28</v>
      </c>
      <c r="G688" s="5"/>
    </row>
    <row r="689" s="1" customFormat="1" ht="18" customHeight="1" spans="1:7">
      <c r="A689" s="5">
        <v>687</v>
      </c>
      <c r="B689" s="5" t="str">
        <f>"王稳"</f>
        <v>王稳</v>
      </c>
      <c r="C689" s="5" t="str">
        <f>"70732024102210523344870"</f>
        <v>70732024102210523344870</v>
      </c>
      <c r="D689" s="5" t="str">
        <f t="shared" si="17"/>
        <v>E2024092</v>
      </c>
      <c r="E689" s="5" t="s">
        <v>27</v>
      </c>
      <c r="F689" s="5" t="s">
        <v>28</v>
      </c>
      <c r="G689" s="5"/>
    </row>
    <row r="690" s="1" customFormat="1" ht="18" customHeight="1" spans="1:7">
      <c r="A690" s="5">
        <v>688</v>
      </c>
      <c r="B690" s="5" t="str">
        <f>"唐木英"</f>
        <v>唐木英</v>
      </c>
      <c r="C690" s="5" t="str">
        <f>"70732024102211203845185"</f>
        <v>70732024102211203845185</v>
      </c>
      <c r="D690" s="5" t="str">
        <f t="shared" si="17"/>
        <v>E2024092</v>
      </c>
      <c r="E690" s="5" t="s">
        <v>27</v>
      </c>
      <c r="F690" s="5" t="s">
        <v>28</v>
      </c>
      <c r="G690" s="5"/>
    </row>
    <row r="691" s="1" customFormat="1" ht="18" customHeight="1" spans="1:7">
      <c r="A691" s="5">
        <v>689</v>
      </c>
      <c r="B691" s="5" t="str">
        <f>"廖冰银"</f>
        <v>廖冰银</v>
      </c>
      <c r="C691" s="5" t="str">
        <f>"70732024102211241345227"</f>
        <v>70732024102211241345227</v>
      </c>
      <c r="D691" s="5" t="str">
        <f t="shared" si="17"/>
        <v>E2024092</v>
      </c>
      <c r="E691" s="5" t="s">
        <v>27</v>
      </c>
      <c r="F691" s="5" t="s">
        <v>28</v>
      </c>
      <c r="G691" s="5"/>
    </row>
    <row r="692" s="1" customFormat="1" ht="18" customHeight="1" spans="1:7">
      <c r="A692" s="5">
        <v>690</v>
      </c>
      <c r="B692" s="5" t="str">
        <f>"王建豪"</f>
        <v>王建豪</v>
      </c>
      <c r="C692" s="5" t="str">
        <f>"70732024102212100745615"</f>
        <v>70732024102212100745615</v>
      </c>
      <c r="D692" s="5" t="str">
        <f t="shared" si="17"/>
        <v>E2024092</v>
      </c>
      <c r="E692" s="5" t="s">
        <v>27</v>
      </c>
      <c r="F692" s="5" t="s">
        <v>28</v>
      </c>
      <c r="G692" s="5"/>
    </row>
    <row r="693" s="1" customFormat="1" ht="18" customHeight="1" spans="1:7">
      <c r="A693" s="5">
        <v>691</v>
      </c>
      <c r="B693" s="5" t="str">
        <f>"漆传虹"</f>
        <v>漆传虹</v>
      </c>
      <c r="C693" s="5" t="str">
        <f>"70732024102213353146189"</f>
        <v>70732024102213353146189</v>
      </c>
      <c r="D693" s="5" t="str">
        <f t="shared" si="17"/>
        <v>E2024092</v>
      </c>
      <c r="E693" s="5" t="s">
        <v>27</v>
      </c>
      <c r="F693" s="5" t="s">
        <v>28</v>
      </c>
      <c r="G693" s="5"/>
    </row>
    <row r="694" s="1" customFormat="1" ht="18" customHeight="1" spans="1:7">
      <c r="A694" s="5">
        <v>692</v>
      </c>
      <c r="B694" s="5" t="str">
        <f>"朱德润"</f>
        <v>朱德润</v>
      </c>
      <c r="C694" s="5" t="str">
        <f>"70732024102111404636717"</f>
        <v>70732024102111404636717</v>
      </c>
      <c r="D694" s="5" t="str">
        <f t="shared" si="17"/>
        <v>E2024092</v>
      </c>
      <c r="E694" s="5" t="s">
        <v>27</v>
      </c>
      <c r="F694" s="5" t="s">
        <v>28</v>
      </c>
      <c r="G694" s="5"/>
    </row>
    <row r="695" s="1" customFormat="1" ht="18" customHeight="1" spans="1:7">
      <c r="A695" s="5">
        <v>693</v>
      </c>
      <c r="B695" s="5" t="str">
        <f>"李淑滨"</f>
        <v>李淑滨</v>
      </c>
      <c r="C695" s="5" t="str">
        <f>"7073202410121523112503"</f>
        <v>7073202410121523112503</v>
      </c>
      <c r="D695" s="5" t="str">
        <f t="shared" si="17"/>
        <v>E2024092</v>
      </c>
      <c r="E695" s="5" t="s">
        <v>27</v>
      </c>
      <c r="F695" s="5" t="s">
        <v>28</v>
      </c>
      <c r="G695" s="5"/>
    </row>
    <row r="696" s="1" customFormat="1" ht="18" customHeight="1" spans="1:7">
      <c r="A696" s="5">
        <v>694</v>
      </c>
      <c r="B696" s="5" t="str">
        <f>"洪成位"</f>
        <v>洪成位</v>
      </c>
      <c r="C696" s="5" t="str">
        <f>"70732024102221504549979"</f>
        <v>70732024102221504549979</v>
      </c>
      <c r="D696" s="5" t="str">
        <f t="shared" si="17"/>
        <v>E2024092</v>
      </c>
      <c r="E696" s="5" t="s">
        <v>27</v>
      </c>
      <c r="F696" s="5" t="s">
        <v>28</v>
      </c>
      <c r="G696" s="5"/>
    </row>
    <row r="697" s="1" customFormat="1" ht="18" customHeight="1" spans="1:7">
      <c r="A697" s="5">
        <v>695</v>
      </c>
      <c r="B697" s="5" t="str">
        <f>"吴丹"</f>
        <v>吴丹</v>
      </c>
      <c r="C697" s="5" t="str">
        <f>"70732024102310164552975"</f>
        <v>70732024102310164552975</v>
      </c>
      <c r="D697" s="5" t="str">
        <f t="shared" si="17"/>
        <v>E2024092</v>
      </c>
      <c r="E697" s="5" t="s">
        <v>27</v>
      </c>
      <c r="F697" s="5" t="s">
        <v>28</v>
      </c>
      <c r="G697" s="5"/>
    </row>
    <row r="698" s="1" customFormat="1" ht="18" customHeight="1" spans="1:7">
      <c r="A698" s="5">
        <v>696</v>
      </c>
      <c r="B698" s="5" t="str">
        <f>"周婷婷"</f>
        <v>周婷婷</v>
      </c>
      <c r="C698" s="5" t="str">
        <f>"70732024102310164252973"</f>
        <v>70732024102310164252973</v>
      </c>
      <c r="D698" s="5" t="str">
        <f t="shared" si="17"/>
        <v>E2024092</v>
      </c>
      <c r="E698" s="5" t="s">
        <v>27</v>
      </c>
      <c r="F698" s="5" t="s">
        <v>28</v>
      </c>
      <c r="G698" s="5"/>
    </row>
    <row r="699" s="1" customFormat="1" ht="18" customHeight="1" spans="1:7">
      <c r="A699" s="5">
        <v>697</v>
      </c>
      <c r="B699" s="5" t="str">
        <f>"周丹丹"</f>
        <v>周丹丹</v>
      </c>
      <c r="C699" s="5" t="str">
        <f>"7073202410141028394531"</f>
        <v>7073202410141028394531</v>
      </c>
      <c r="D699" s="5" t="str">
        <f t="shared" si="17"/>
        <v>E2024092</v>
      </c>
      <c r="E699" s="5" t="s">
        <v>27</v>
      </c>
      <c r="F699" s="5" t="s">
        <v>28</v>
      </c>
      <c r="G699" s="5"/>
    </row>
    <row r="700" s="1" customFormat="1" ht="18" customHeight="1" spans="1:7">
      <c r="A700" s="5">
        <v>698</v>
      </c>
      <c r="B700" s="5" t="str">
        <f>"刘寅作"</f>
        <v>刘寅作</v>
      </c>
      <c r="C700" s="5" t="str">
        <f>"70732024102313200955777"</f>
        <v>70732024102313200955777</v>
      </c>
      <c r="D700" s="5" t="str">
        <f t="shared" si="17"/>
        <v>E2024092</v>
      </c>
      <c r="E700" s="5" t="s">
        <v>27</v>
      </c>
      <c r="F700" s="5" t="s">
        <v>28</v>
      </c>
      <c r="G700" s="5"/>
    </row>
    <row r="701" s="1" customFormat="1" ht="18" customHeight="1" spans="1:7">
      <c r="A701" s="5">
        <v>699</v>
      </c>
      <c r="B701" s="5" t="str">
        <f>"张露"</f>
        <v>张露</v>
      </c>
      <c r="C701" s="5" t="str">
        <f>"70732024102117083540275"</f>
        <v>70732024102117083540275</v>
      </c>
      <c r="D701" s="5" t="str">
        <f t="shared" si="17"/>
        <v>E2024092</v>
      </c>
      <c r="E701" s="5" t="s">
        <v>27</v>
      </c>
      <c r="F701" s="5" t="s">
        <v>28</v>
      </c>
      <c r="G701" s="5"/>
    </row>
    <row r="702" s="1" customFormat="1" ht="18" customHeight="1" spans="1:7">
      <c r="A702" s="5">
        <v>700</v>
      </c>
      <c r="B702" s="5" t="str">
        <f>"陈卫"</f>
        <v>陈卫</v>
      </c>
      <c r="C702" s="5" t="str">
        <f>"70732024102319084059999"</f>
        <v>70732024102319084059999</v>
      </c>
      <c r="D702" s="5" t="str">
        <f t="shared" si="17"/>
        <v>E2024092</v>
      </c>
      <c r="E702" s="5" t="s">
        <v>27</v>
      </c>
      <c r="F702" s="5" t="s">
        <v>28</v>
      </c>
      <c r="G702" s="5"/>
    </row>
    <row r="703" s="1" customFormat="1" ht="18" customHeight="1" spans="1:7">
      <c r="A703" s="5">
        <v>701</v>
      </c>
      <c r="B703" s="5" t="str">
        <f>"刘淼"</f>
        <v>刘淼</v>
      </c>
      <c r="C703" s="5" t="str">
        <f>"70732024102321062661342"</f>
        <v>70732024102321062661342</v>
      </c>
      <c r="D703" s="5" t="str">
        <f t="shared" si="17"/>
        <v>E2024092</v>
      </c>
      <c r="E703" s="5" t="s">
        <v>27</v>
      </c>
      <c r="F703" s="5" t="s">
        <v>28</v>
      </c>
      <c r="G703" s="5"/>
    </row>
    <row r="704" s="1" customFormat="1" ht="18" customHeight="1" spans="1:7">
      <c r="A704" s="5">
        <v>702</v>
      </c>
      <c r="B704" s="5" t="str">
        <f>"向雨洁"</f>
        <v>向雨洁</v>
      </c>
      <c r="C704" s="5" t="str">
        <f>"70732024102108504633983"</f>
        <v>70732024102108504633983</v>
      </c>
      <c r="D704" s="5" t="str">
        <f t="shared" si="17"/>
        <v>E2024092</v>
      </c>
      <c r="E704" s="5" t="s">
        <v>27</v>
      </c>
      <c r="F704" s="5" t="s">
        <v>28</v>
      </c>
      <c r="G704" s="5"/>
    </row>
    <row r="705" s="1" customFormat="1" ht="18" customHeight="1" spans="1:7">
      <c r="A705" s="5">
        <v>703</v>
      </c>
      <c r="B705" s="5" t="str">
        <f>"杨海燕"</f>
        <v>杨海燕</v>
      </c>
      <c r="C705" s="5" t="str">
        <f>"70732024102406533363171"</f>
        <v>70732024102406533363171</v>
      </c>
      <c r="D705" s="5" t="str">
        <f t="shared" si="17"/>
        <v>E2024092</v>
      </c>
      <c r="E705" s="5" t="s">
        <v>27</v>
      </c>
      <c r="F705" s="5" t="s">
        <v>28</v>
      </c>
      <c r="G705" s="5"/>
    </row>
    <row r="706" s="1" customFormat="1" ht="18" customHeight="1" spans="1:7">
      <c r="A706" s="5">
        <v>704</v>
      </c>
      <c r="B706" s="5" t="str">
        <f>"田晓慧"</f>
        <v>田晓慧</v>
      </c>
      <c r="C706" s="5" t="str">
        <f>"70732024102411302765664"</f>
        <v>70732024102411302765664</v>
      </c>
      <c r="D706" s="5" t="str">
        <f t="shared" si="17"/>
        <v>E2024092</v>
      </c>
      <c r="E706" s="5" t="s">
        <v>27</v>
      </c>
      <c r="F706" s="5" t="s">
        <v>28</v>
      </c>
      <c r="G706" s="5"/>
    </row>
    <row r="707" s="1" customFormat="1" ht="18" customHeight="1" spans="1:7">
      <c r="A707" s="5">
        <v>705</v>
      </c>
      <c r="B707" s="5" t="str">
        <f>"周露"</f>
        <v>周露</v>
      </c>
      <c r="C707" s="5" t="str">
        <f>"70732024102215484747237"</f>
        <v>70732024102215484747237</v>
      </c>
      <c r="D707" s="5" t="str">
        <f t="shared" si="17"/>
        <v>E2024092</v>
      </c>
      <c r="E707" s="5" t="s">
        <v>27</v>
      </c>
      <c r="F707" s="5" t="s">
        <v>28</v>
      </c>
      <c r="G707" s="5"/>
    </row>
    <row r="708" s="1" customFormat="1" ht="18" customHeight="1" spans="1:7">
      <c r="A708" s="5">
        <v>706</v>
      </c>
      <c r="B708" s="5" t="str">
        <f>"白恩侨"</f>
        <v>白恩侨</v>
      </c>
      <c r="C708" s="5" t="str">
        <f>"70732024102413541866954"</f>
        <v>70732024102413541866954</v>
      </c>
      <c r="D708" s="5" t="str">
        <f t="shared" si="17"/>
        <v>E2024092</v>
      </c>
      <c r="E708" s="5" t="s">
        <v>27</v>
      </c>
      <c r="F708" s="5" t="s">
        <v>28</v>
      </c>
      <c r="G708" s="5"/>
    </row>
    <row r="709" s="1" customFormat="1" ht="18" customHeight="1" spans="1:7">
      <c r="A709" s="5">
        <v>707</v>
      </c>
      <c r="B709" s="5" t="str">
        <f>"韩庆君"</f>
        <v>韩庆君</v>
      </c>
      <c r="C709" s="5" t="str">
        <f>"70732024102414500867477"</f>
        <v>70732024102414500867477</v>
      </c>
      <c r="D709" s="5" t="str">
        <f t="shared" si="17"/>
        <v>E2024092</v>
      </c>
      <c r="E709" s="5" t="s">
        <v>27</v>
      </c>
      <c r="F709" s="5" t="s">
        <v>28</v>
      </c>
      <c r="G709" s="5"/>
    </row>
    <row r="710" s="1" customFormat="1" ht="18" customHeight="1" spans="1:7">
      <c r="A710" s="5">
        <v>708</v>
      </c>
      <c r="B710" s="5" t="str">
        <f>"向韦"</f>
        <v>向韦</v>
      </c>
      <c r="C710" s="5" t="str">
        <f>"70732024102414393267356"</f>
        <v>70732024102414393267356</v>
      </c>
      <c r="D710" s="5" t="str">
        <f t="shared" si="17"/>
        <v>E2024092</v>
      </c>
      <c r="E710" s="5" t="s">
        <v>27</v>
      </c>
      <c r="F710" s="5" t="s">
        <v>28</v>
      </c>
      <c r="G710" s="5"/>
    </row>
    <row r="711" s="1" customFormat="1" ht="18" customHeight="1" spans="1:7">
      <c r="A711" s="5">
        <v>709</v>
      </c>
      <c r="B711" s="5" t="str">
        <f>"杨洋"</f>
        <v>杨洋</v>
      </c>
      <c r="C711" s="5" t="str">
        <f>"70732024102415221267882"</f>
        <v>70732024102415221267882</v>
      </c>
      <c r="D711" s="5" t="str">
        <f t="shared" si="17"/>
        <v>E2024092</v>
      </c>
      <c r="E711" s="5" t="s">
        <v>27</v>
      </c>
      <c r="F711" s="5" t="s">
        <v>28</v>
      </c>
      <c r="G711" s="5"/>
    </row>
    <row r="712" s="1" customFormat="1" ht="18" customHeight="1" spans="1:7">
      <c r="A712" s="5">
        <v>710</v>
      </c>
      <c r="B712" s="5" t="str">
        <f>"李州"</f>
        <v>李州</v>
      </c>
      <c r="C712" s="5" t="str">
        <f>"70732024102415324268017"</f>
        <v>70732024102415324268017</v>
      </c>
      <c r="D712" s="5" t="str">
        <f t="shared" si="17"/>
        <v>E2024092</v>
      </c>
      <c r="E712" s="5" t="s">
        <v>27</v>
      </c>
      <c r="F712" s="5" t="s">
        <v>28</v>
      </c>
      <c r="G712" s="5"/>
    </row>
    <row r="713" s="1" customFormat="1" ht="18" customHeight="1" spans="1:7">
      <c r="A713" s="5">
        <v>711</v>
      </c>
      <c r="B713" s="5" t="str">
        <f>"饶偲祺"</f>
        <v>饶偲祺</v>
      </c>
      <c r="C713" s="5" t="str">
        <f>"70732024102415531768247"</f>
        <v>70732024102415531768247</v>
      </c>
      <c r="D713" s="5" t="str">
        <f t="shared" si="17"/>
        <v>E2024092</v>
      </c>
      <c r="E713" s="5" t="s">
        <v>27</v>
      </c>
      <c r="F713" s="5" t="s">
        <v>28</v>
      </c>
      <c r="G713" s="5"/>
    </row>
    <row r="714" s="1" customFormat="1" ht="18" customHeight="1" spans="1:7">
      <c r="A714" s="5">
        <v>712</v>
      </c>
      <c r="B714" s="5" t="str">
        <f>"刘磊"</f>
        <v>刘磊</v>
      </c>
      <c r="C714" s="5" t="str">
        <f>"70732024102417530969492"</f>
        <v>70732024102417530969492</v>
      </c>
      <c r="D714" s="5" t="str">
        <f t="shared" si="17"/>
        <v>E2024092</v>
      </c>
      <c r="E714" s="5" t="s">
        <v>27</v>
      </c>
      <c r="F714" s="5" t="s">
        <v>28</v>
      </c>
      <c r="G714" s="5"/>
    </row>
    <row r="715" s="1" customFormat="1" ht="18" customHeight="1" spans="1:7">
      <c r="A715" s="5">
        <v>713</v>
      </c>
      <c r="B715" s="5" t="str">
        <f>"陈明其"</f>
        <v>陈明其</v>
      </c>
      <c r="C715" s="5" t="str">
        <f>"70732024102416424068808"</f>
        <v>70732024102416424068808</v>
      </c>
      <c r="D715" s="5" t="str">
        <f t="shared" si="17"/>
        <v>E2024092</v>
      </c>
      <c r="E715" s="5" t="s">
        <v>27</v>
      </c>
      <c r="F715" s="5" t="s">
        <v>28</v>
      </c>
      <c r="G715" s="5"/>
    </row>
    <row r="716" s="1" customFormat="1" ht="18" customHeight="1" spans="1:7">
      <c r="A716" s="5">
        <v>714</v>
      </c>
      <c r="B716" s="5" t="str">
        <f>"高慧远"</f>
        <v>高慧远</v>
      </c>
      <c r="C716" s="5" t="str">
        <f>"70732024102419111470131"</f>
        <v>70732024102419111470131</v>
      </c>
      <c r="D716" s="5" t="str">
        <f t="shared" si="17"/>
        <v>E2024092</v>
      </c>
      <c r="E716" s="5" t="s">
        <v>27</v>
      </c>
      <c r="F716" s="5" t="s">
        <v>28</v>
      </c>
      <c r="G716" s="5"/>
    </row>
    <row r="717" s="1" customFormat="1" ht="18" customHeight="1" spans="1:7">
      <c r="A717" s="5">
        <v>715</v>
      </c>
      <c r="B717" s="5" t="str">
        <f>"陈涛"</f>
        <v>陈涛</v>
      </c>
      <c r="C717" s="5" t="str">
        <f>"70732024102421175471305"</f>
        <v>70732024102421175471305</v>
      </c>
      <c r="D717" s="5" t="str">
        <f t="shared" si="17"/>
        <v>E2024092</v>
      </c>
      <c r="E717" s="5" t="s">
        <v>27</v>
      </c>
      <c r="F717" s="5" t="s">
        <v>28</v>
      </c>
      <c r="G717" s="5"/>
    </row>
    <row r="718" s="1" customFormat="1" ht="18" customHeight="1" spans="1:7">
      <c r="A718" s="5">
        <v>716</v>
      </c>
      <c r="B718" s="5" t="str">
        <f>"陈武群"</f>
        <v>陈武群</v>
      </c>
      <c r="C718" s="5" t="str">
        <f>"70732024102413354866792"</f>
        <v>70732024102413354866792</v>
      </c>
      <c r="D718" s="5" t="str">
        <f t="shared" si="17"/>
        <v>E2024092</v>
      </c>
      <c r="E718" s="5" t="s">
        <v>27</v>
      </c>
      <c r="F718" s="5" t="s">
        <v>28</v>
      </c>
      <c r="G718" s="5"/>
    </row>
    <row r="719" s="1" customFormat="1" ht="18" customHeight="1" spans="1:7">
      <c r="A719" s="5">
        <v>717</v>
      </c>
      <c r="B719" s="5" t="str">
        <f>"张昕鑫"</f>
        <v>张昕鑫</v>
      </c>
      <c r="C719" s="5" t="str">
        <f>"7073202410122244483084"</f>
        <v>7073202410122244483084</v>
      </c>
      <c r="D719" s="5" t="str">
        <f t="shared" si="17"/>
        <v>E2024092</v>
      </c>
      <c r="E719" s="5" t="s">
        <v>27</v>
      </c>
      <c r="F719" s="5" t="s">
        <v>28</v>
      </c>
      <c r="G719" s="5"/>
    </row>
    <row r="720" s="1" customFormat="1" ht="18" customHeight="1" spans="1:7">
      <c r="A720" s="5">
        <v>718</v>
      </c>
      <c r="B720" s="5" t="str">
        <f>"朱婷敏"</f>
        <v>朱婷敏</v>
      </c>
      <c r="C720" s="5" t="str">
        <f>"70732024102422392572066"</f>
        <v>70732024102422392572066</v>
      </c>
      <c r="D720" s="5" t="str">
        <f t="shared" si="17"/>
        <v>E2024092</v>
      </c>
      <c r="E720" s="5" t="s">
        <v>27</v>
      </c>
      <c r="F720" s="5" t="s">
        <v>28</v>
      </c>
      <c r="G720" s="5"/>
    </row>
    <row r="721" s="1" customFormat="1" ht="18" customHeight="1" spans="1:7">
      <c r="A721" s="5">
        <v>719</v>
      </c>
      <c r="B721" s="5" t="str">
        <f>"覃杰"</f>
        <v>覃杰</v>
      </c>
      <c r="C721" s="5" t="str">
        <f>"7073202410121012231780"</f>
        <v>7073202410121012231780</v>
      </c>
      <c r="D721" s="5" t="str">
        <f t="shared" si="17"/>
        <v>E2024092</v>
      </c>
      <c r="E721" s="5" t="s">
        <v>27</v>
      </c>
      <c r="F721" s="5" t="s">
        <v>28</v>
      </c>
      <c r="G721" s="5"/>
    </row>
    <row r="722" s="1" customFormat="1" ht="18" customHeight="1" spans="1:7">
      <c r="A722" s="5">
        <v>720</v>
      </c>
      <c r="B722" s="5" t="str">
        <f>"龙金娥"</f>
        <v>龙金娥</v>
      </c>
      <c r="C722" s="5" t="str">
        <f>"70732024102508205472920"</f>
        <v>70732024102508205472920</v>
      </c>
      <c r="D722" s="5" t="str">
        <f t="shared" si="17"/>
        <v>E2024092</v>
      </c>
      <c r="E722" s="5" t="s">
        <v>27</v>
      </c>
      <c r="F722" s="5" t="s">
        <v>28</v>
      </c>
      <c r="G722" s="5"/>
    </row>
    <row r="723" s="1" customFormat="1" ht="18" customHeight="1" spans="1:7">
      <c r="A723" s="5">
        <v>721</v>
      </c>
      <c r="B723" s="5" t="str">
        <f>"滕英杰"</f>
        <v>滕英杰</v>
      </c>
      <c r="C723" s="5" t="str">
        <f>"70732024102323325362768"</f>
        <v>70732024102323325362768</v>
      </c>
      <c r="D723" s="5" t="str">
        <f t="shared" si="17"/>
        <v>E2024092</v>
      </c>
      <c r="E723" s="5" t="s">
        <v>27</v>
      </c>
      <c r="F723" s="5" t="s">
        <v>28</v>
      </c>
      <c r="G723" s="5"/>
    </row>
    <row r="724" s="1" customFormat="1" ht="18" customHeight="1" spans="1:7">
      <c r="A724" s="5">
        <v>722</v>
      </c>
      <c r="B724" s="5" t="str">
        <f>"邓妮"</f>
        <v>邓妮</v>
      </c>
      <c r="C724" s="5" t="str">
        <f>"70732024102516092577457"</f>
        <v>70732024102516092577457</v>
      </c>
      <c r="D724" s="5" t="str">
        <f t="shared" si="17"/>
        <v>E2024092</v>
      </c>
      <c r="E724" s="5" t="s">
        <v>27</v>
      </c>
      <c r="F724" s="5" t="s">
        <v>28</v>
      </c>
      <c r="G724" s="5"/>
    </row>
    <row r="725" s="1" customFormat="1" ht="18" customHeight="1" spans="1:7">
      <c r="A725" s="5">
        <v>723</v>
      </c>
      <c r="B725" s="5" t="str">
        <f>"胡勇"</f>
        <v>胡勇</v>
      </c>
      <c r="C725" s="5" t="str">
        <f>"7073202410120925111590"</f>
        <v>7073202410120925111590</v>
      </c>
      <c r="D725" s="5" t="str">
        <f t="shared" ref="D725:D788" si="18">"E2024093"</f>
        <v>E2024093</v>
      </c>
      <c r="E725" s="5" t="s">
        <v>29</v>
      </c>
      <c r="F725" s="5" t="s">
        <v>30</v>
      </c>
      <c r="G725" s="5"/>
    </row>
    <row r="726" s="1" customFormat="1" ht="18" customHeight="1" spans="1:7">
      <c r="A726" s="5">
        <v>724</v>
      </c>
      <c r="B726" s="5" t="str">
        <f>"黄裕箫"</f>
        <v>黄裕箫</v>
      </c>
      <c r="C726" s="5" t="str">
        <f>"7073202410120947391671"</f>
        <v>7073202410120947391671</v>
      </c>
      <c r="D726" s="5" t="str">
        <f t="shared" si="18"/>
        <v>E2024093</v>
      </c>
      <c r="E726" s="5" t="s">
        <v>29</v>
      </c>
      <c r="F726" s="5" t="s">
        <v>30</v>
      </c>
      <c r="G726" s="5"/>
    </row>
    <row r="727" s="1" customFormat="1" ht="18" customHeight="1" spans="1:7">
      <c r="A727" s="5">
        <v>725</v>
      </c>
      <c r="B727" s="5" t="str">
        <f>"黎巍"</f>
        <v>黎巍</v>
      </c>
      <c r="C727" s="5" t="str">
        <f>"7073202410120950391686"</f>
        <v>7073202410120950391686</v>
      </c>
      <c r="D727" s="5" t="str">
        <f t="shared" si="18"/>
        <v>E2024093</v>
      </c>
      <c r="E727" s="5" t="s">
        <v>29</v>
      </c>
      <c r="F727" s="5" t="s">
        <v>30</v>
      </c>
      <c r="G727" s="5"/>
    </row>
    <row r="728" s="1" customFormat="1" ht="18" customHeight="1" spans="1:7">
      <c r="A728" s="5">
        <v>726</v>
      </c>
      <c r="B728" s="5" t="str">
        <f>"肖丹阳"</f>
        <v>肖丹阳</v>
      </c>
      <c r="C728" s="5" t="str">
        <f>"7073202410121018491802"</f>
        <v>7073202410121018491802</v>
      </c>
      <c r="D728" s="5" t="str">
        <f t="shared" si="18"/>
        <v>E2024093</v>
      </c>
      <c r="E728" s="5" t="s">
        <v>29</v>
      </c>
      <c r="F728" s="5" t="s">
        <v>30</v>
      </c>
      <c r="G728" s="5"/>
    </row>
    <row r="729" s="1" customFormat="1" ht="18" customHeight="1" spans="1:7">
      <c r="A729" s="5">
        <v>727</v>
      </c>
      <c r="B729" s="5" t="str">
        <f>"胡登辉"</f>
        <v>胡登辉</v>
      </c>
      <c r="C729" s="5" t="str">
        <f>"7073202410121116241986"</f>
        <v>7073202410121116241986</v>
      </c>
      <c r="D729" s="5" t="str">
        <f t="shared" si="18"/>
        <v>E2024093</v>
      </c>
      <c r="E729" s="5" t="s">
        <v>29</v>
      </c>
      <c r="F729" s="5" t="s">
        <v>30</v>
      </c>
      <c r="G729" s="5"/>
    </row>
    <row r="730" s="1" customFormat="1" ht="18" customHeight="1" spans="1:7">
      <c r="A730" s="5">
        <v>728</v>
      </c>
      <c r="B730" s="5" t="str">
        <f>"欧阳平"</f>
        <v>欧阳平</v>
      </c>
      <c r="C730" s="5" t="str">
        <f>"7073202410121103451949"</f>
        <v>7073202410121103451949</v>
      </c>
      <c r="D730" s="5" t="str">
        <f t="shared" si="18"/>
        <v>E2024093</v>
      </c>
      <c r="E730" s="5" t="s">
        <v>29</v>
      </c>
      <c r="F730" s="5" t="s">
        <v>30</v>
      </c>
      <c r="G730" s="5"/>
    </row>
    <row r="731" s="1" customFormat="1" ht="18" customHeight="1" spans="1:7">
      <c r="A731" s="5">
        <v>729</v>
      </c>
      <c r="B731" s="5" t="str">
        <f>"甯鑫"</f>
        <v>甯鑫</v>
      </c>
      <c r="C731" s="5" t="str">
        <f>"7073202410121005251751"</f>
        <v>7073202410121005251751</v>
      </c>
      <c r="D731" s="5" t="str">
        <f t="shared" si="18"/>
        <v>E2024093</v>
      </c>
      <c r="E731" s="5" t="s">
        <v>29</v>
      </c>
      <c r="F731" s="5" t="s">
        <v>30</v>
      </c>
      <c r="G731" s="5"/>
    </row>
    <row r="732" s="1" customFormat="1" ht="18" customHeight="1" spans="1:7">
      <c r="A732" s="5">
        <v>730</v>
      </c>
      <c r="B732" s="5" t="str">
        <f>"王博"</f>
        <v>王博</v>
      </c>
      <c r="C732" s="5" t="str">
        <f>"7073202410121242562209"</f>
        <v>7073202410121242562209</v>
      </c>
      <c r="D732" s="5" t="str">
        <f t="shared" si="18"/>
        <v>E2024093</v>
      </c>
      <c r="E732" s="5" t="s">
        <v>29</v>
      </c>
      <c r="F732" s="5" t="s">
        <v>30</v>
      </c>
      <c r="G732" s="5"/>
    </row>
    <row r="733" s="1" customFormat="1" ht="18" customHeight="1" spans="1:7">
      <c r="A733" s="5">
        <v>731</v>
      </c>
      <c r="B733" s="5" t="str">
        <f>"赵田"</f>
        <v>赵田</v>
      </c>
      <c r="C733" s="5" t="str">
        <f>"7073202410121304022253"</f>
        <v>7073202410121304022253</v>
      </c>
      <c r="D733" s="5" t="str">
        <f t="shared" si="18"/>
        <v>E2024093</v>
      </c>
      <c r="E733" s="5" t="s">
        <v>29</v>
      </c>
      <c r="F733" s="5" t="s">
        <v>30</v>
      </c>
      <c r="G733" s="5"/>
    </row>
    <row r="734" s="1" customFormat="1" ht="18" customHeight="1" spans="1:7">
      <c r="A734" s="5">
        <v>732</v>
      </c>
      <c r="B734" s="5" t="str">
        <f>"王小蕾"</f>
        <v>王小蕾</v>
      </c>
      <c r="C734" s="5" t="str">
        <f>"7073202410121321072273"</f>
        <v>7073202410121321072273</v>
      </c>
      <c r="D734" s="5" t="str">
        <f t="shared" si="18"/>
        <v>E2024093</v>
      </c>
      <c r="E734" s="5" t="s">
        <v>29</v>
      </c>
      <c r="F734" s="5" t="s">
        <v>30</v>
      </c>
      <c r="G734" s="5"/>
    </row>
    <row r="735" s="1" customFormat="1" ht="18" customHeight="1" spans="1:7">
      <c r="A735" s="5">
        <v>733</v>
      </c>
      <c r="B735" s="5" t="str">
        <f>"袁涛"</f>
        <v>袁涛</v>
      </c>
      <c r="C735" s="5" t="str">
        <f>"7073202410121439142409"</f>
        <v>7073202410121439142409</v>
      </c>
      <c r="D735" s="5" t="str">
        <f t="shared" si="18"/>
        <v>E2024093</v>
      </c>
      <c r="E735" s="5" t="s">
        <v>29</v>
      </c>
      <c r="F735" s="5" t="s">
        <v>30</v>
      </c>
      <c r="G735" s="5"/>
    </row>
    <row r="736" s="1" customFormat="1" ht="18" customHeight="1" spans="1:7">
      <c r="A736" s="5">
        <v>734</v>
      </c>
      <c r="B736" s="5" t="str">
        <f>"饶曾福"</f>
        <v>饶曾福</v>
      </c>
      <c r="C736" s="5" t="str">
        <f>"7073202410121459542460"</f>
        <v>7073202410121459542460</v>
      </c>
      <c r="D736" s="5" t="str">
        <f t="shared" si="18"/>
        <v>E2024093</v>
      </c>
      <c r="E736" s="5" t="s">
        <v>29</v>
      </c>
      <c r="F736" s="5" t="s">
        <v>30</v>
      </c>
      <c r="G736" s="5"/>
    </row>
    <row r="737" s="1" customFormat="1" ht="18" customHeight="1" spans="1:7">
      <c r="A737" s="5">
        <v>735</v>
      </c>
      <c r="B737" s="5" t="str">
        <f>"史涛"</f>
        <v>史涛</v>
      </c>
      <c r="C737" s="5" t="str">
        <f>"7073202410121532212515"</f>
        <v>7073202410121532212515</v>
      </c>
      <c r="D737" s="5" t="str">
        <f t="shared" si="18"/>
        <v>E2024093</v>
      </c>
      <c r="E737" s="5" t="s">
        <v>29</v>
      </c>
      <c r="F737" s="5" t="s">
        <v>30</v>
      </c>
      <c r="G737" s="5"/>
    </row>
    <row r="738" s="1" customFormat="1" ht="18" customHeight="1" spans="1:7">
      <c r="A738" s="5">
        <v>736</v>
      </c>
      <c r="B738" s="5" t="str">
        <f>"程楠"</f>
        <v>程楠</v>
      </c>
      <c r="C738" s="5" t="str">
        <f>"7073202410121542172535"</f>
        <v>7073202410121542172535</v>
      </c>
      <c r="D738" s="5" t="str">
        <f t="shared" si="18"/>
        <v>E2024093</v>
      </c>
      <c r="E738" s="5" t="s">
        <v>29</v>
      </c>
      <c r="F738" s="5" t="s">
        <v>30</v>
      </c>
      <c r="G738" s="5"/>
    </row>
    <row r="739" s="1" customFormat="1" ht="18" customHeight="1" spans="1:7">
      <c r="A739" s="5">
        <v>737</v>
      </c>
      <c r="B739" s="5" t="str">
        <f>"刘海林"</f>
        <v>刘海林</v>
      </c>
      <c r="C739" s="5" t="str">
        <f>"7073202410121613002613"</f>
        <v>7073202410121613002613</v>
      </c>
      <c r="D739" s="5" t="str">
        <f t="shared" si="18"/>
        <v>E2024093</v>
      </c>
      <c r="E739" s="5" t="s">
        <v>29</v>
      </c>
      <c r="F739" s="5" t="s">
        <v>30</v>
      </c>
      <c r="G739" s="5"/>
    </row>
    <row r="740" s="1" customFormat="1" ht="18" customHeight="1" spans="1:7">
      <c r="A740" s="5">
        <v>738</v>
      </c>
      <c r="B740" s="5" t="str">
        <f>"高苗"</f>
        <v>高苗</v>
      </c>
      <c r="C740" s="5" t="str">
        <f>"7073202410121559202580"</f>
        <v>7073202410121559202580</v>
      </c>
      <c r="D740" s="5" t="str">
        <f t="shared" si="18"/>
        <v>E2024093</v>
      </c>
      <c r="E740" s="5" t="s">
        <v>29</v>
      </c>
      <c r="F740" s="5" t="s">
        <v>30</v>
      </c>
      <c r="G740" s="5"/>
    </row>
    <row r="741" s="1" customFormat="1" ht="18" customHeight="1" spans="1:7">
      <c r="A741" s="5">
        <v>739</v>
      </c>
      <c r="B741" s="5" t="str">
        <f>"张萌萌"</f>
        <v>张萌萌</v>
      </c>
      <c r="C741" s="5" t="str">
        <f>"7073202410121639092669"</f>
        <v>7073202410121639092669</v>
      </c>
      <c r="D741" s="5" t="str">
        <f t="shared" si="18"/>
        <v>E2024093</v>
      </c>
      <c r="E741" s="5" t="s">
        <v>29</v>
      </c>
      <c r="F741" s="5" t="s">
        <v>30</v>
      </c>
      <c r="G741" s="5"/>
    </row>
    <row r="742" s="1" customFormat="1" ht="18" customHeight="1" spans="1:7">
      <c r="A742" s="5">
        <v>740</v>
      </c>
      <c r="B742" s="5" t="str">
        <f>"陈宁芳"</f>
        <v>陈宁芳</v>
      </c>
      <c r="C742" s="5" t="str">
        <f>"7073202410121656302701"</f>
        <v>7073202410121656302701</v>
      </c>
      <c r="D742" s="5" t="str">
        <f t="shared" si="18"/>
        <v>E2024093</v>
      </c>
      <c r="E742" s="5" t="s">
        <v>29</v>
      </c>
      <c r="F742" s="5" t="s">
        <v>30</v>
      </c>
      <c r="G742" s="5"/>
    </row>
    <row r="743" s="1" customFormat="1" ht="18" customHeight="1" spans="1:7">
      <c r="A743" s="5">
        <v>741</v>
      </c>
      <c r="B743" s="5" t="str">
        <f>"张攀"</f>
        <v>张攀</v>
      </c>
      <c r="C743" s="5" t="str">
        <f>"7073202410121647582686"</f>
        <v>7073202410121647582686</v>
      </c>
      <c r="D743" s="5" t="str">
        <f t="shared" si="18"/>
        <v>E2024093</v>
      </c>
      <c r="E743" s="5" t="s">
        <v>29</v>
      </c>
      <c r="F743" s="5" t="s">
        <v>30</v>
      </c>
      <c r="G743" s="5"/>
    </row>
    <row r="744" s="1" customFormat="1" ht="18" customHeight="1" spans="1:7">
      <c r="A744" s="5">
        <v>742</v>
      </c>
      <c r="B744" s="5" t="str">
        <f>"龙九州"</f>
        <v>龙九州</v>
      </c>
      <c r="C744" s="5" t="str">
        <f>"7073202410121843112825"</f>
        <v>7073202410121843112825</v>
      </c>
      <c r="D744" s="5" t="str">
        <f t="shared" si="18"/>
        <v>E2024093</v>
      </c>
      <c r="E744" s="5" t="s">
        <v>29</v>
      </c>
      <c r="F744" s="5" t="s">
        <v>30</v>
      </c>
      <c r="G744" s="5"/>
    </row>
    <row r="745" s="1" customFormat="1" ht="18" customHeight="1" spans="1:7">
      <c r="A745" s="5">
        <v>743</v>
      </c>
      <c r="B745" s="5" t="str">
        <f>"唐侨"</f>
        <v>唐侨</v>
      </c>
      <c r="C745" s="5" t="str">
        <f>"7073202410121903132854"</f>
        <v>7073202410121903132854</v>
      </c>
      <c r="D745" s="5" t="str">
        <f t="shared" si="18"/>
        <v>E2024093</v>
      </c>
      <c r="E745" s="5" t="s">
        <v>29</v>
      </c>
      <c r="F745" s="5" t="s">
        <v>30</v>
      </c>
      <c r="G745" s="5"/>
    </row>
    <row r="746" s="1" customFormat="1" ht="18" customHeight="1" spans="1:7">
      <c r="A746" s="5">
        <v>744</v>
      </c>
      <c r="B746" s="5" t="str">
        <f>"蒋林"</f>
        <v>蒋林</v>
      </c>
      <c r="C746" s="5" t="str">
        <f>"7073202410121758572778"</f>
        <v>7073202410121758572778</v>
      </c>
      <c r="D746" s="5" t="str">
        <f t="shared" si="18"/>
        <v>E2024093</v>
      </c>
      <c r="E746" s="5" t="s">
        <v>29</v>
      </c>
      <c r="F746" s="5" t="s">
        <v>30</v>
      </c>
      <c r="G746" s="5"/>
    </row>
    <row r="747" s="1" customFormat="1" ht="18" customHeight="1" spans="1:7">
      <c r="A747" s="5">
        <v>745</v>
      </c>
      <c r="B747" s="5" t="str">
        <f>"陈婧若"</f>
        <v>陈婧若</v>
      </c>
      <c r="C747" s="5" t="str">
        <f>"7073202410122140233030"</f>
        <v>7073202410122140233030</v>
      </c>
      <c r="D747" s="5" t="str">
        <f t="shared" si="18"/>
        <v>E2024093</v>
      </c>
      <c r="E747" s="5" t="s">
        <v>29</v>
      </c>
      <c r="F747" s="5" t="s">
        <v>30</v>
      </c>
      <c r="G747" s="5"/>
    </row>
    <row r="748" s="1" customFormat="1" ht="18" customHeight="1" spans="1:7">
      <c r="A748" s="5">
        <v>746</v>
      </c>
      <c r="B748" s="5" t="str">
        <f>"沈熙文"</f>
        <v>沈熙文</v>
      </c>
      <c r="C748" s="5" t="str">
        <f>"7073202410122315033105"</f>
        <v>7073202410122315033105</v>
      </c>
      <c r="D748" s="5" t="str">
        <f t="shared" si="18"/>
        <v>E2024093</v>
      </c>
      <c r="E748" s="5" t="s">
        <v>29</v>
      </c>
      <c r="F748" s="5" t="s">
        <v>30</v>
      </c>
      <c r="G748" s="5"/>
    </row>
    <row r="749" s="1" customFormat="1" ht="18" customHeight="1" spans="1:7">
      <c r="A749" s="5">
        <v>747</v>
      </c>
      <c r="B749" s="5" t="str">
        <f>"丁家坤"</f>
        <v>丁家坤</v>
      </c>
      <c r="C749" s="5" t="str">
        <f>"7073202410122248353090"</f>
        <v>7073202410122248353090</v>
      </c>
      <c r="D749" s="5" t="str">
        <f t="shared" si="18"/>
        <v>E2024093</v>
      </c>
      <c r="E749" s="5" t="s">
        <v>29</v>
      </c>
      <c r="F749" s="5" t="s">
        <v>30</v>
      </c>
      <c r="G749" s="5"/>
    </row>
    <row r="750" s="1" customFormat="1" ht="18" customHeight="1" spans="1:7">
      <c r="A750" s="5">
        <v>748</v>
      </c>
      <c r="B750" s="5" t="str">
        <f>"孔德义"</f>
        <v>孔德义</v>
      </c>
      <c r="C750" s="5" t="str">
        <f>"7073202410130953073213"</f>
        <v>7073202410130953073213</v>
      </c>
      <c r="D750" s="5" t="str">
        <f t="shared" si="18"/>
        <v>E2024093</v>
      </c>
      <c r="E750" s="5" t="s">
        <v>29</v>
      </c>
      <c r="F750" s="5" t="s">
        <v>30</v>
      </c>
      <c r="G750" s="5"/>
    </row>
    <row r="751" s="1" customFormat="1" ht="18" customHeight="1" spans="1:7">
      <c r="A751" s="5">
        <v>749</v>
      </c>
      <c r="B751" s="5" t="str">
        <f>"黄伟"</f>
        <v>黄伟</v>
      </c>
      <c r="C751" s="5" t="str">
        <f>"7073202410131048033259"</f>
        <v>7073202410131048033259</v>
      </c>
      <c r="D751" s="5" t="str">
        <f t="shared" si="18"/>
        <v>E2024093</v>
      </c>
      <c r="E751" s="5" t="s">
        <v>29</v>
      </c>
      <c r="F751" s="5" t="s">
        <v>30</v>
      </c>
      <c r="G751" s="5"/>
    </row>
    <row r="752" s="1" customFormat="1" ht="18" customHeight="1" spans="1:7">
      <c r="A752" s="5">
        <v>750</v>
      </c>
      <c r="B752" s="5" t="str">
        <f>"万昱"</f>
        <v>万昱</v>
      </c>
      <c r="C752" s="5" t="str">
        <f>"7073202410131000313216"</f>
        <v>7073202410131000313216</v>
      </c>
      <c r="D752" s="5" t="str">
        <f t="shared" si="18"/>
        <v>E2024093</v>
      </c>
      <c r="E752" s="5" t="s">
        <v>29</v>
      </c>
      <c r="F752" s="5" t="s">
        <v>30</v>
      </c>
      <c r="G752" s="5"/>
    </row>
    <row r="753" s="1" customFormat="1" ht="18" customHeight="1" spans="1:7">
      <c r="A753" s="5">
        <v>751</v>
      </c>
      <c r="B753" s="5" t="str">
        <f>"张延森"</f>
        <v>张延森</v>
      </c>
      <c r="C753" s="5" t="str">
        <f>"7073202410131137043313"</f>
        <v>7073202410131137043313</v>
      </c>
      <c r="D753" s="5" t="str">
        <f t="shared" si="18"/>
        <v>E2024093</v>
      </c>
      <c r="E753" s="5" t="s">
        <v>29</v>
      </c>
      <c r="F753" s="5" t="s">
        <v>30</v>
      </c>
      <c r="G753" s="5"/>
    </row>
    <row r="754" s="1" customFormat="1" ht="18" customHeight="1" spans="1:7">
      <c r="A754" s="5">
        <v>752</v>
      </c>
      <c r="B754" s="5" t="str">
        <f>"刘成"</f>
        <v>刘成</v>
      </c>
      <c r="C754" s="5" t="str">
        <f>"7073202410131406433444"</f>
        <v>7073202410131406433444</v>
      </c>
      <c r="D754" s="5" t="str">
        <f t="shared" si="18"/>
        <v>E2024093</v>
      </c>
      <c r="E754" s="5" t="s">
        <v>29</v>
      </c>
      <c r="F754" s="5" t="s">
        <v>30</v>
      </c>
      <c r="G754" s="5"/>
    </row>
    <row r="755" s="1" customFormat="1" ht="18" customHeight="1" spans="1:7">
      <c r="A755" s="5">
        <v>753</v>
      </c>
      <c r="B755" s="5" t="str">
        <f>"袁磊磊"</f>
        <v>袁磊磊</v>
      </c>
      <c r="C755" s="5" t="str">
        <f>"7073202410131443383473"</f>
        <v>7073202410131443383473</v>
      </c>
      <c r="D755" s="5" t="str">
        <f t="shared" si="18"/>
        <v>E2024093</v>
      </c>
      <c r="E755" s="5" t="s">
        <v>29</v>
      </c>
      <c r="F755" s="5" t="s">
        <v>30</v>
      </c>
      <c r="G755" s="5"/>
    </row>
    <row r="756" s="1" customFormat="1" ht="18" customHeight="1" spans="1:7">
      <c r="A756" s="5">
        <v>754</v>
      </c>
      <c r="B756" s="5" t="str">
        <f>"邓鑫"</f>
        <v>邓鑫</v>
      </c>
      <c r="C756" s="5" t="str">
        <f>"7073202410131529373526"</f>
        <v>7073202410131529373526</v>
      </c>
      <c r="D756" s="5" t="str">
        <f t="shared" si="18"/>
        <v>E2024093</v>
      </c>
      <c r="E756" s="5" t="s">
        <v>29</v>
      </c>
      <c r="F756" s="5" t="s">
        <v>30</v>
      </c>
      <c r="G756" s="5"/>
    </row>
    <row r="757" s="1" customFormat="1" ht="18" customHeight="1" spans="1:7">
      <c r="A757" s="5">
        <v>755</v>
      </c>
      <c r="B757" s="5" t="str">
        <f>"邓世雄"</f>
        <v>邓世雄</v>
      </c>
      <c r="C757" s="5" t="str">
        <f>"7073202410131610483564"</f>
        <v>7073202410131610483564</v>
      </c>
      <c r="D757" s="5" t="str">
        <f t="shared" si="18"/>
        <v>E2024093</v>
      </c>
      <c r="E757" s="5" t="s">
        <v>29</v>
      </c>
      <c r="F757" s="5" t="s">
        <v>30</v>
      </c>
      <c r="G757" s="5"/>
    </row>
    <row r="758" s="1" customFormat="1" ht="18" customHeight="1" spans="1:7">
      <c r="A758" s="5">
        <v>756</v>
      </c>
      <c r="B758" s="5" t="str">
        <f>"李元波"</f>
        <v>李元波</v>
      </c>
      <c r="C758" s="5" t="str">
        <f>"7073202410131925573725"</f>
        <v>7073202410131925573725</v>
      </c>
      <c r="D758" s="5" t="str">
        <f t="shared" si="18"/>
        <v>E2024093</v>
      </c>
      <c r="E758" s="5" t="s">
        <v>29</v>
      </c>
      <c r="F758" s="5" t="s">
        <v>30</v>
      </c>
      <c r="G758" s="5"/>
    </row>
    <row r="759" s="1" customFormat="1" ht="18" customHeight="1" spans="1:7">
      <c r="A759" s="5">
        <v>757</v>
      </c>
      <c r="B759" s="5" t="str">
        <f>"李银沐"</f>
        <v>李银沐</v>
      </c>
      <c r="C759" s="5" t="str">
        <f>"7073202410132009233772"</f>
        <v>7073202410132009233772</v>
      </c>
      <c r="D759" s="5" t="str">
        <f t="shared" si="18"/>
        <v>E2024093</v>
      </c>
      <c r="E759" s="5" t="s">
        <v>29</v>
      </c>
      <c r="F759" s="5" t="s">
        <v>30</v>
      </c>
      <c r="G759" s="5"/>
    </row>
    <row r="760" s="1" customFormat="1" ht="18" customHeight="1" spans="1:7">
      <c r="A760" s="5">
        <v>758</v>
      </c>
      <c r="B760" s="5" t="str">
        <f>"胡婷婷"</f>
        <v>胡婷婷</v>
      </c>
      <c r="C760" s="5" t="str">
        <f>"7073202410131955443760"</f>
        <v>7073202410131955443760</v>
      </c>
      <c r="D760" s="5" t="str">
        <f t="shared" si="18"/>
        <v>E2024093</v>
      </c>
      <c r="E760" s="5" t="s">
        <v>29</v>
      </c>
      <c r="F760" s="5" t="s">
        <v>30</v>
      </c>
      <c r="G760" s="5"/>
    </row>
    <row r="761" s="1" customFormat="1" ht="18" customHeight="1" spans="1:7">
      <c r="A761" s="5">
        <v>759</v>
      </c>
      <c r="B761" s="5" t="str">
        <f>"饶坤"</f>
        <v>饶坤</v>
      </c>
      <c r="C761" s="5" t="str">
        <f>"7073202410132040543797"</f>
        <v>7073202410132040543797</v>
      </c>
      <c r="D761" s="5" t="str">
        <f t="shared" si="18"/>
        <v>E2024093</v>
      </c>
      <c r="E761" s="5" t="s">
        <v>29</v>
      </c>
      <c r="F761" s="5" t="s">
        <v>30</v>
      </c>
      <c r="G761" s="5"/>
    </row>
    <row r="762" s="1" customFormat="1" ht="18" customHeight="1" spans="1:7">
      <c r="A762" s="5">
        <v>760</v>
      </c>
      <c r="B762" s="5" t="str">
        <f>"赵巍"</f>
        <v>赵巍</v>
      </c>
      <c r="C762" s="5" t="str">
        <f>"7073202410132058413812"</f>
        <v>7073202410132058413812</v>
      </c>
      <c r="D762" s="5" t="str">
        <f t="shared" si="18"/>
        <v>E2024093</v>
      </c>
      <c r="E762" s="5" t="s">
        <v>29</v>
      </c>
      <c r="F762" s="5" t="s">
        <v>30</v>
      </c>
      <c r="G762" s="5"/>
    </row>
    <row r="763" s="1" customFormat="1" ht="18" customHeight="1" spans="1:7">
      <c r="A763" s="5">
        <v>761</v>
      </c>
      <c r="B763" s="5" t="str">
        <f>"侯立龙"</f>
        <v>侯立龙</v>
      </c>
      <c r="C763" s="5" t="str">
        <f>"7073202410140830303962"</f>
        <v>7073202410140830303962</v>
      </c>
      <c r="D763" s="5" t="str">
        <f t="shared" si="18"/>
        <v>E2024093</v>
      </c>
      <c r="E763" s="5" t="s">
        <v>29</v>
      </c>
      <c r="F763" s="5" t="s">
        <v>30</v>
      </c>
      <c r="G763" s="5"/>
    </row>
    <row r="764" s="1" customFormat="1" ht="18" customHeight="1" spans="1:7">
      <c r="A764" s="5">
        <v>762</v>
      </c>
      <c r="B764" s="5" t="str">
        <f>"彭谷"</f>
        <v>彭谷</v>
      </c>
      <c r="C764" s="5" t="str">
        <f>"7073202410140920444153"</f>
        <v>7073202410140920444153</v>
      </c>
      <c r="D764" s="5" t="str">
        <f t="shared" si="18"/>
        <v>E2024093</v>
      </c>
      <c r="E764" s="5" t="s">
        <v>29</v>
      </c>
      <c r="F764" s="5" t="s">
        <v>30</v>
      </c>
      <c r="G764" s="5"/>
    </row>
    <row r="765" s="1" customFormat="1" ht="18" customHeight="1" spans="1:7">
      <c r="A765" s="5">
        <v>763</v>
      </c>
      <c r="B765" s="5" t="str">
        <f>"陈波"</f>
        <v>陈波</v>
      </c>
      <c r="C765" s="5" t="str">
        <f>"7073202410140927454196"</f>
        <v>7073202410140927454196</v>
      </c>
      <c r="D765" s="5" t="str">
        <f t="shared" si="18"/>
        <v>E2024093</v>
      </c>
      <c r="E765" s="5" t="s">
        <v>29</v>
      </c>
      <c r="F765" s="5" t="s">
        <v>30</v>
      </c>
      <c r="G765" s="5"/>
    </row>
    <row r="766" s="1" customFormat="1" ht="18" customHeight="1" spans="1:7">
      <c r="A766" s="5">
        <v>764</v>
      </c>
      <c r="B766" s="5" t="str">
        <f>"谭允哲"</f>
        <v>谭允哲</v>
      </c>
      <c r="C766" s="5" t="str">
        <f>"7073202410140828003958"</f>
        <v>7073202410140828003958</v>
      </c>
      <c r="D766" s="5" t="str">
        <f t="shared" si="18"/>
        <v>E2024093</v>
      </c>
      <c r="E766" s="5" t="s">
        <v>29</v>
      </c>
      <c r="F766" s="5" t="s">
        <v>30</v>
      </c>
      <c r="G766" s="5"/>
    </row>
    <row r="767" s="1" customFormat="1" ht="18" customHeight="1" spans="1:7">
      <c r="A767" s="5">
        <v>765</v>
      </c>
      <c r="B767" s="5" t="str">
        <f>"张万凯"</f>
        <v>张万凯</v>
      </c>
      <c r="C767" s="5" t="str">
        <f>"7073202410140938214260"</f>
        <v>7073202410140938214260</v>
      </c>
      <c r="D767" s="5" t="str">
        <f t="shared" si="18"/>
        <v>E2024093</v>
      </c>
      <c r="E767" s="5" t="s">
        <v>29</v>
      </c>
      <c r="F767" s="5" t="s">
        <v>30</v>
      </c>
      <c r="G767" s="5"/>
    </row>
    <row r="768" s="1" customFormat="1" ht="18" customHeight="1" spans="1:7">
      <c r="A768" s="5">
        <v>766</v>
      </c>
      <c r="B768" s="5" t="str">
        <f>"汪涵"</f>
        <v>汪涵</v>
      </c>
      <c r="C768" s="5" t="str">
        <f>"7073202410141004544411"</f>
        <v>7073202410141004544411</v>
      </c>
      <c r="D768" s="5" t="str">
        <f t="shared" si="18"/>
        <v>E2024093</v>
      </c>
      <c r="E768" s="5" t="s">
        <v>29</v>
      </c>
      <c r="F768" s="5" t="s">
        <v>30</v>
      </c>
      <c r="G768" s="5"/>
    </row>
    <row r="769" s="1" customFormat="1" ht="18" customHeight="1" spans="1:7">
      <c r="A769" s="5">
        <v>767</v>
      </c>
      <c r="B769" s="5" t="str">
        <f>"陈君"</f>
        <v>陈君</v>
      </c>
      <c r="C769" s="5" t="str">
        <f>"7073202410141020564481"</f>
        <v>7073202410141020564481</v>
      </c>
      <c r="D769" s="5" t="str">
        <f t="shared" si="18"/>
        <v>E2024093</v>
      </c>
      <c r="E769" s="5" t="s">
        <v>29</v>
      </c>
      <c r="F769" s="5" t="s">
        <v>30</v>
      </c>
      <c r="G769" s="5"/>
    </row>
    <row r="770" s="1" customFormat="1" ht="18" customHeight="1" spans="1:7">
      <c r="A770" s="5">
        <v>768</v>
      </c>
      <c r="B770" s="5" t="str">
        <f>"胡钰"</f>
        <v>胡钰</v>
      </c>
      <c r="C770" s="5" t="str">
        <f>"7073202410141040044604"</f>
        <v>7073202410141040044604</v>
      </c>
      <c r="D770" s="5" t="str">
        <f t="shared" si="18"/>
        <v>E2024093</v>
      </c>
      <c r="E770" s="5" t="s">
        <v>29</v>
      </c>
      <c r="F770" s="5" t="s">
        <v>30</v>
      </c>
      <c r="G770" s="5"/>
    </row>
    <row r="771" s="1" customFormat="1" ht="18" customHeight="1" spans="1:7">
      <c r="A771" s="5">
        <v>769</v>
      </c>
      <c r="B771" s="5" t="str">
        <f>"刘云舟"</f>
        <v>刘云舟</v>
      </c>
      <c r="C771" s="5" t="str">
        <f>"7073202410140938044257"</f>
        <v>7073202410140938044257</v>
      </c>
      <c r="D771" s="5" t="str">
        <f t="shared" si="18"/>
        <v>E2024093</v>
      </c>
      <c r="E771" s="5" t="s">
        <v>29</v>
      </c>
      <c r="F771" s="5" t="s">
        <v>30</v>
      </c>
      <c r="G771" s="5"/>
    </row>
    <row r="772" s="1" customFormat="1" ht="18" customHeight="1" spans="1:7">
      <c r="A772" s="5">
        <v>770</v>
      </c>
      <c r="B772" s="5" t="str">
        <f>"白博"</f>
        <v>白博</v>
      </c>
      <c r="C772" s="5" t="str">
        <f>"7073202410141117464786"</f>
        <v>7073202410141117464786</v>
      </c>
      <c r="D772" s="5" t="str">
        <f t="shared" si="18"/>
        <v>E2024093</v>
      </c>
      <c r="E772" s="5" t="s">
        <v>29</v>
      </c>
      <c r="F772" s="5" t="s">
        <v>30</v>
      </c>
      <c r="G772" s="5"/>
    </row>
    <row r="773" s="1" customFormat="1" ht="18" customHeight="1" spans="1:7">
      <c r="A773" s="5">
        <v>771</v>
      </c>
      <c r="B773" s="5" t="str">
        <f>"薛天航"</f>
        <v>薛天航</v>
      </c>
      <c r="C773" s="5" t="str">
        <f>"7073202410141158224910"</f>
        <v>7073202410141158224910</v>
      </c>
      <c r="D773" s="5" t="str">
        <f t="shared" si="18"/>
        <v>E2024093</v>
      </c>
      <c r="E773" s="5" t="s">
        <v>29</v>
      </c>
      <c r="F773" s="5" t="s">
        <v>30</v>
      </c>
      <c r="G773" s="5"/>
    </row>
    <row r="774" s="1" customFormat="1" ht="18" customHeight="1" spans="1:7">
      <c r="A774" s="5">
        <v>772</v>
      </c>
      <c r="B774" s="5" t="str">
        <f>"曹雷"</f>
        <v>曹雷</v>
      </c>
      <c r="C774" s="5" t="str">
        <f>"7073202410141209404926"</f>
        <v>7073202410141209404926</v>
      </c>
      <c r="D774" s="5" t="str">
        <f t="shared" si="18"/>
        <v>E2024093</v>
      </c>
      <c r="E774" s="5" t="s">
        <v>29</v>
      </c>
      <c r="F774" s="5" t="s">
        <v>30</v>
      </c>
      <c r="G774" s="5"/>
    </row>
    <row r="775" s="1" customFormat="1" ht="18" customHeight="1" spans="1:7">
      <c r="A775" s="5">
        <v>773</v>
      </c>
      <c r="B775" s="5" t="str">
        <f>"孙浩晖"</f>
        <v>孙浩晖</v>
      </c>
      <c r="C775" s="5" t="str">
        <f>"7073202410141408095187"</f>
        <v>7073202410141408095187</v>
      </c>
      <c r="D775" s="5" t="str">
        <f t="shared" si="18"/>
        <v>E2024093</v>
      </c>
      <c r="E775" s="5" t="s">
        <v>29</v>
      </c>
      <c r="F775" s="5" t="s">
        <v>30</v>
      </c>
      <c r="G775" s="5"/>
    </row>
    <row r="776" s="1" customFormat="1" ht="18" customHeight="1" spans="1:7">
      <c r="A776" s="5">
        <v>774</v>
      </c>
      <c r="B776" s="5" t="str">
        <f>"张旺"</f>
        <v>张旺</v>
      </c>
      <c r="C776" s="5" t="str">
        <f>"7073202410141033134562"</f>
        <v>7073202410141033134562</v>
      </c>
      <c r="D776" s="5" t="str">
        <f t="shared" si="18"/>
        <v>E2024093</v>
      </c>
      <c r="E776" s="5" t="s">
        <v>29</v>
      </c>
      <c r="F776" s="5" t="s">
        <v>30</v>
      </c>
      <c r="G776" s="5"/>
    </row>
    <row r="777" s="1" customFormat="1" ht="18" customHeight="1" spans="1:7">
      <c r="A777" s="5">
        <v>775</v>
      </c>
      <c r="B777" s="5" t="str">
        <f>"黎圣堂"</f>
        <v>黎圣堂</v>
      </c>
      <c r="C777" s="5" t="str">
        <f>"7073202410141724365752"</f>
        <v>7073202410141724365752</v>
      </c>
      <c r="D777" s="5" t="str">
        <f t="shared" si="18"/>
        <v>E2024093</v>
      </c>
      <c r="E777" s="5" t="s">
        <v>29</v>
      </c>
      <c r="F777" s="5" t="s">
        <v>30</v>
      </c>
      <c r="G777" s="5"/>
    </row>
    <row r="778" s="1" customFormat="1" ht="18" customHeight="1" spans="1:7">
      <c r="A778" s="5">
        <v>776</v>
      </c>
      <c r="B778" s="5" t="str">
        <f>"吴建阳"</f>
        <v>吴建阳</v>
      </c>
      <c r="C778" s="5" t="str">
        <f>"7073202410141847355881"</f>
        <v>7073202410141847355881</v>
      </c>
      <c r="D778" s="5" t="str">
        <f t="shared" si="18"/>
        <v>E2024093</v>
      </c>
      <c r="E778" s="5" t="s">
        <v>29</v>
      </c>
      <c r="F778" s="5" t="s">
        <v>30</v>
      </c>
      <c r="G778" s="5"/>
    </row>
    <row r="779" s="1" customFormat="1" ht="18" customHeight="1" spans="1:7">
      <c r="A779" s="5">
        <v>777</v>
      </c>
      <c r="B779" s="5" t="str">
        <f>"熊锡村"</f>
        <v>熊锡村</v>
      </c>
      <c r="C779" s="5" t="str">
        <f>"7073202410141840045865"</f>
        <v>7073202410141840045865</v>
      </c>
      <c r="D779" s="5" t="str">
        <f t="shared" si="18"/>
        <v>E2024093</v>
      </c>
      <c r="E779" s="5" t="s">
        <v>29</v>
      </c>
      <c r="F779" s="5" t="s">
        <v>30</v>
      </c>
      <c r="G779" s="5"/>
    </row>
    <row r="780" s="1" customFormat="1" ht="18" customHeight="1" spans="1:7">
      <c r="A780" s="5">
        <v>778</v>
      </c>
      <c r="B780" s="5" t="str">
        <f>"张灿"</f>
        <v>张灿</v>
      </c>
      <c r="C780" s="5" t="str">
        <f>"7073202410142129176198"</f>
        <v>7073202410142129176198</v>
      </c>
      <c r="D780" s="5" t="str">
        <f t="shared" si="18"/>
        <v>E2024093</v>
      </c>
      <c r="E780" s="5" t="s">
        <v>29</v>
      </c>
      <c r="F780" s="5" t="s">
        <v>30</v>
      </c>
      <c r="G780" s="5"/>
    </row>
    <row r="781" s="1" customFormat="1" ht="18" customHeight="1" spans="1:7">
      <c r="A781" s="5">
        <v>779</v>
      </c>
      <c r="B781" s="5" t="str">
        <f>"何念"</f>
        <v>何念</v>
      </c>
      <c r="C781" s="5" t="str">
        <f>"7073202410141425295227"</f>
        <v>7073202410141425295227</v>
      </c>
      <c r="D781" s="5" t="str">
        <f t="shared" si="18"/>
        <v>E2024093</v>
      </c>
      <c r="E781" s="5" t="s">
        <v>29</v>
      </c>
      <c r="F781" s="5" t="s">
        <v>30</v>
      </c>
      <c r="G781" s="5"/>
    </row>
    <row r="782" s="1" customFormat="1" ht="18" customHeight="1" spans="1:7">
      <c r="A782" s="5">
        <v>780</v>
      </c>
      <c r="B782" s="5" t="str">
        <f>"孟凡斌"</f>
        <v>孟凡斌</v>
      </c>
      <c r="C782" s="5" t="str">
        <f>"7073202410121215182148"</f>
        <v>7073202410121215182148</v>
      </c>
      <c r="D782" s="5" t="str">
        <f t="shared" si="18"/>
        <v>E2024093</v>
      </c>
      <c r="E782" s="5" t="s">
        <v>29</v>
      </c>
      <c r="F782" s="5" t="s">
        <v>30</v>
      </c>
      <c r="G782" s="5"/>
    </row>
    <row r="783" s="1" customFormat="1" ht="18" customHeight="1" spans="1:7">
      <c r="A783" s="5">
        <v>781</v>
      </c>
      <c r="B783" s="5" t="str">
        <f>"万泓恋"</f>
        <v>万泓恋</v>
      </c>
      <c r="C783" s="5" t="str">
        <f>"7073202410150913306642"</f>
        <v>7073202410150913306642</v>
      </c>
      <c r="D783" s="5" t="str">
        <f t="shared" si="18"/>
        <v>E2024093</v>
      </c>
      <c r="E783" s="5" t="s">
        <v>29</v>
      </c>
      <c r="F783" s="5" t="s">
        <v>30</v>
      </c>
      <c r="G783" s="5"/>
    </row>
    <row r="784" s="1" customFormat="1" ht="18" customHeight="1" spans="1:7">
      <c r="A784" s="5">
        <v>782</v>
      </c>
      <c r="B784" s="5" t="str">
        <f>"舒友"</f>
        <v>舒友</v>
      </c>
      <c r="C784" s="5" t="str">
        <f>"7073202410150930406782"</f>
        <v>7073202410150930406782</v>
      </c>
      <c r="D784" s="5" t="str">
        <f t="shared" si="18"/>
        <v>E2024093</v>
      </c>
      <c r="E784" s="5" t="s">
        <v>29</v>
      </c>
      <c r="F784" s="5" t="s">
        <v>30</v>
      </c>
      <c r="G784" s="5"/>
    </row>
    <row r="785" s="1" customFormat="1" ht="18" customHeight="1" spans="1:7">
      <c r="A785" s="5">
        <v>783</v>
      </c>
      <c r="B785" s="5" t="str">
        <f>"张欢"</f>
        <v>张欢</v>
      </c>
      <c r="C785" s="5" t="str">
        <f>"7073202410150945066901"</f>
        <v>7073202410150945066901</v>
      </c>
      <c r="D785" s="5" t="str">
        <f t="shared" si="18"/>
        <v>E2024093</v>
      </c>
      <c r="E785" s="5" t="s">
        <v>29</v>
      </c>
      <c r="F785" s="5" t="s">
        <v>30</v>
      </c>
      <c r="G785" s="5"/>
    </row>
    <row r="786" s="1" customFormat="1" ht="18" customHeight="1" spans="1:7">
      <c r="A786" s="5">
        <v>784</v>
      </c>
      <c r="B786" s="5" t="str">
        <f>"唐胜钦"</f>
        <v>唐胜钦</v>
      </c>
      <c r="C786" s="5" t="str">
        <f>"7073202410151042547295"</f>
        <v>7073202410151042547295</v>
      </c>
      <c r="D786" s="5" t="str">
        <f t="shared" si="18"/>
        <v>E2024093</v>
      </c>
      <c r="E786" s="5" t="s">
        <v>29</v>
      </c>
      <c r="F786" s="5" t="s">
        <v>30</v>
      </c>
      <c r="G786" s="5"/>
    </row>
    <row r="787" s="1" customFormat="1" ht="18" customHeight="1" spans="1:7">
      <c r="A787" s="5">
        <v>785</v>
      </c>
      <c r="B787" s="5" t="str">
        <f>"洪昊"</f>
        <v>洪昊</v>
      </c>
      <c r="C787" s="5" t="str">
        <f>"7073202410151622178746"</f>
        <v>7073202410151622178746</v>
      </c>
      <c r="D787" s="5" t="str">
        <f t="shared" si="18"/>
        <v>E2024093</v>
      </c>
      <c r="E787" s="5" t="s">
        <v>29</v>
      </c>
      <c r="F787" s="5" t="s">
        <v>30</v>
      </c>
      <c r="G787" s="5"/>
    </row>
    <row r="788" s="1" customFormat="1" ht="18" customHeight="1" spans="1:7">
      <c r="A788" s="5">
        <v>786</v>
      </c>
      <c r="B788" s="5" t="str">
        <f>"杨剑"</f>
        <v>杨剑</v>
      </c>
      <c r="C788" s="5" t="str">
        <f>"7073202410152031339679"</f>
        <v>7073202410152031339679</v>
      </c>
      <c r="D788" s="5" t="str">
        <f t="shared" si="18"/>
        <v>E2024093</v>
      </c>
      <c r="E788" s="5" t="s">
        <v>29</v>
      </c>
      <c r="F788" s="5" t="s">
        <v>30</v>
      </c>
      <c r="G788" s="5"/>
    </row>
    <row r="789" s="1" customFormat="1" ht="18" customHeight="1" spans="1:7">
      <c r="A789" s="5">
        <v>787</v>
      </c>
      <c r="B789" s="5" t="str">
        <f>"周圣钦"</f>
        <v>周圣钦</v>
      </c>
      <c r="C789" s="5" t="str">
        <f>"70732024101614593812595"</f>
        <v>70732024101614593812595</v>
      </c>
      <c r="D789" s="5" t="str">
        <f t="shared" ref="D789:D836" si="19">"E2024093"</f>
        <v>E2024093</v>
      </c>
      <c r="E789" s="5" t="s">
        <v>29</v>
      </c>
      <c r="F789" s="5" t="s">
        <v>30</v>
      </c>
      <c r="G789" s="5"/>
    </row>
    <row r="790" s="1" customFormat="1" ht="18" customHeight="1" spans="1:7">
      <c r="A790" s="5">
        <v>788</v>
      </c>
      <c r="B790" s="5" t="str">
        <f>"刘丹"</f>
        <v>刘丹</v>
      </c>
      <c r="C790" s="5" t="str">
        <f>"70732024101616005512930"</f>
        <v>70732024101616005512930</v>
      </c>
      <c r="D790" s="5" t="str">
        <f t="shared" si="19"/>
        <v>E2024093</v>
      </c>
      <c r="E790" s="5" t="s">
        <v>29</v>
      </c>
      <c r="F790" s="5" t="s">
        <v>30</v>
      </c>
      <c r="G790" s="5"/>
    </row>
    <row r="791" s="1" customFormat="1" ht="18" customHeight="1" spans="1:7">
      <c r="A791" s="5">
        <v>789</v>
      </c>
      <c r="B791" s="5" t="str">
        <f>"牟伦钘"</f>
        <v>牟伦钘</v>
      </c>
      <c r="C791" s="5" t="str">
        <f>"70732024101616423613131"</f>
        <v>70732024101616423613131</v>
      </c>
      <c r="D791" s="5" t="str">
        <f t="shared" si="19"/>
        <v>E2024093</v>
      </c>
      <c r="E791" s="5" t="s">
        <v>29</v>
      </c>
      <c r="F791" s="5" t="s">
        <v>30</v>
      </c>
      <c r="G791" s="5"/>
    </row>
    <row r="792" s="1" customFormat="1" ht="18" customHeight="1" spans="1:7">
      <c r="A792" s="5">
        <v>790</v>
      </c>
      <c r="B792" s="5" t="str">
        <f>"于辉"</f>
        <v>于辉</v>
      </c>
      <c r="C792" s="5" t="str">
        <f>"70732024101616171813009"</f>
        <v>70732024101616171813009</v>
      </c>
      <c r="D792" s="5" t="str">
        <f t="shared" si="19"/>
        <v>E2024093</v>
      </c>
      <c r="E792" s="5" t="s">
        <v>29</v>
      </c>
      <c r="F792" s="5" t="s">
        <v>30</v>
      </c>
      <c r="G792" s="5"/>
    </row>
    <row r="793" s="1" customFormat="1" ht="18" customHeight="1" spans="1:7">
      <c r="A793" s="5">
        <v>791</v>
      </c>
      <c r="B793" s="5" t="str">
        <f>"杨胜武"</f>
        <v>杨胜武</v>
      </c>
      <c r="C793" s="5" t="str">
        <f>"7073202410141123144800"</f>
        <v>7073202410141123144800</v>
      </c>
      <c r="D793" s="5" t="str">
        <f t="shared" si="19"/>
        <v>E2024093</v>
      </c>
      <c r="E793" s="5" t="s">
        <v>29</v>
      </c>
      <c r="F793" s="5" t="s">
        <v>30</v>
      </c>
      <c r="G793" s="5"/>
    </row>
    <row r="794" s="1" customFormat="1" ht="18" customHeight="1" spans="1:7">
      <c r="A794" s="5">
        <v>792</v>
      </c>
      <c r="B794" s="5" t="str">
        <f>"覃卫"</f>
        <v>覃卫</v>
      </c>
      <c r="C794" s="5" t="str">
        <f>"7073202410121648482687"</f>
        <v>7073202410121648482687</v>
      </c>
      <c r="D794" s="5" t="str">
        <f t="shared" si="19"/>
        <v>E2024093</v>
      </c>
      <c r="E794" s="5" t="s">
        <v>29</v>
      </c>
      <c r="F794" s="5" t="s">
        <v>30</v>
      </c>
      <c r="G794" s="5"/>
    </row>
    <row r="795" s="1" customFormat="1" ht="18" customHeight="1" spans="1:7">
      <c r="A795" s="5">
        <v>793</v>
      </c>
      <c r="B795" s="5" t="str">
        <f>"李春阳"</f>
        <v>李春阳</v>
      </c>
      <c r="C795" s="5" t="str">
        <f>"70732024101714490718192"</f>
        <v>70732024101714490718192</v>
      </c>
      <c r="D795" s="5" t="str">
        <f t="shared" si="19"/>
        <v>E2024093</v>
      </c>
      <c r="E795" s="5" t="s">
        <v>29</v>
      </c>
      <c r="F795" s="5" t="s">
        <v>30</v>
      </c>
      <c r="G795" s="5"/>
    </row>
    <row r="796" s="1" customFormat="1" ht="18" customHeight="1" spans="1:7">
      <c r="A796" s="5">
        <v>794</v>
      </c>
      <c r="B796" s="5" t="str">
        <f>"牟薪宇"</f>
        <v>牟薪宇</v>
      </c>
      <c r="C796" s="5" t="str">
        <f>"70732024101715273118504"</f>
        <v>70732024101715273118504</v>
      </c>
      <c r="D796" s="5" t="str">
        <f t="shared" si="19"/>
        <v>E2024093</v>
      </c>
      <c r="E796" s="5" t="s">
        <v>29</v>
      </c>
      <c r="F796" s="5" t="s">
        <v>30</v>
      </c>
      <c r="G796" s="5"/>
    </row>
    <row r="797" s="1" customFormat="1" ht="18" customHeight="1" spans="1:7">
      <c r="A797" s="5">
        <v>795</v>
      </c>
      <c r="B797" s="5" t="str">
        <f>"杨章恒"</f>
        <v>杨章恒</v>
      </c>
      <c r="C797" s="5" t="str">
        <f>"70732024101719124020043"</f>
        <v>70732024101719124020043</v>
      </c>
      <c r="D797" s="5" t="str">
        <f t="shared" si="19"/>
        <v>E2024093</v>
      </c>
      <c r="E797" s="5" t="s">
        <v>29</v>
      </c>
      <c r="F797" s="5" t="s">
        <v>30</v>
      </c>
      <c r="G797" s="5"/>
    </row>
    <row r="798" s="1" customFormat="1" ht="18" customHeight="1" spans="1:7">
      <c r="A798" s="5">
        <v>796</v>
      </c>
      <c r="B798" s="5" t="str">
        <f>"张曜"</f>
        <v>张曜</v>
      </c>
      <c r="C798" s="5" t="str">
        <f>"70732024101721021920806"</f>
        <v>70732024101721021920806</v>
      </c>
      <c r="D798" s="5" t="str">
        <f t="shared" si="19"/>
        <v>E2024093</v>
      </c>
      <c r="E798" s="5" t="s">
        <v>29</v>
      </c>
      <c r="F798" s="5" t="s">
        <v>30</v>
      </c>
      <c r="G798" s="5"/>
    </row>
    <row r="799" s="1" customFormat="1" ht="18" customHeight="1" spans="1:7">
      <c r="A799" s="5">
        <v>797</v>
      </c>
      <c r="B799" s="5" t="str">
        <f>"宋新亮"</f>
        <v>宋新亮</v>
      </c>
      <c r="C799" s="5" t="str">
        <f>"70732024101800525721714"</f>
        <v>70732024101800525721714</v>
      </c>
      <c r="D799" s="5" t="str">
        <f t="shared" si="19"/>
        <v>E2024093</v>
      </c>
      <c r="E799" s="5" t="s">
        <v>29</v>
      </c>
      <c r="F799" s="5" t="s">
        <v>30</v>
      </c>
      <c r="G799" s="5"/>
    </row>
    <row r="800" s="1" customFormat="1" ht="18" customHeight="1" spans="1:7">
      <c r="A800" s="5">
        <v>798</v>
      </c>
      <c r="B800" s="5" t="str">
        <f>"刘昶宇"</f>
        <v>刘昶宇</v>
      </c>
      <c r="C800" s="5" t="str">
        <f>"70732024101810181722728"</f>
        <v>70732024101810181722728</v>
      </c>
      <c r="D800" s="5" t="str">
        <f t="shared" si="19"/>
        <v>E2024093</v>
      </c>
      <c r="E800" s="5" t="s">
        <v>29</v>
      </c>
      <c r="F800" s="5" t="s">
        <v>30</v>
      </c>
      <c r="G800" s="5"/>
    </row>
    <row r="801" s="1" customFormat="1" ht="18" customHeight="1" spans="1:7">
      <c r="A801" s="5">
        <v>799</v>
      </c>
      <c r="B801" s="5" t="str">
        <f>"侯迪"</f>
        <v>侯迪</v>
      </c>
      <c r="C801" s="5" t="str">
        <f>"7073202410141022114489"</f>
        <v>7073202410141022114489</v>
      </c>
      <c r="D801" s="5" t="str">
        <f t="shared" si="19"/>
        <v>E2024093</v>
      </c>
      <c r="E801" s="5" t="s">
        <v>29</v>
      </c>
      <c r="F801" s="5" t="s">
        <v>30</v>
      </c>
      <c r="G801" s="5"/>
    </row>
    <row r="802" s="1" customFormat="1" ht="18" customHeight="1" spans="1:7">
      <c r="A802" s="5">
        <v>800</v>
      </c>
      <c r="B802" s="5" t="str">
        <f>"周楷凯"</f>
        <v>周楷凯</v>
      </c>
      <c r="C802" s="5" t="str">
        <f>"7073202410131040493255"</f>
        <v>7073202410131040493255</v>
      </c>
      <c r="D802" s="5" t="str">
        <f t="shared" si="19"/>
        <v>E2024093</v>
      </c>
      <c r="E802" s="5" t="s">
        <v>29</v>
      </c>
      <c r="F802" s="5" t="s">
        <v>30</v>
      </c>
      <c r="G802" s="5"/>
    </row>
    <row r="803" s="1" customFormat="1" ht="18" customHeight="1" spans="1:7">
      <c r="A803" s="5">
        <v>801</v>
      </c>
      <c r="B803" s="5" t="str">
        <f>"秦侧"</f>
        <v>秦侧</v>
      </c>
      <c r="C803" s="5" t="str">
        <f>"70732024101915484029102"</f>
        <v>70732024101915484029102</v>
      </c>
      <c r="D803" s="5" t="str">
        <f t="shared" si="19"/>
        <v>E2024093</v>
      </c>
      <c r="E803" s="5" t="s">
        <v>29</v>
      </c>
      <c r="F803" s="5" t="s">
        <v>30</v>
      </c>
      <c r="G803" s="5"/>
    </row>
    <row r="804" s="1" customFormat="1" ht="18" customHeight="1" spans="1:7">
      <c r="A804" s="5">
        <v>802</v>
      </c>
      <c r="B804" s="5" t="str">
        <f>"李杰"</f>
        <v>李杰</v>
      </c>
      <c r="C804" s="5" t="str">
        <f>"70732024101900433827752"</f>
        <v>70732024101900433827752</v>
      </c>
      <c r="D804" s="5" t="str">
        <f t="shared" si="19"/>
        <v>E2024093</v>
      </c>
      <c r="E804" s="5" t="s">
        <v>29</v>
      </c>
      <c r="F804" s="5" t="s">
        <v>30</v>
      </c>
      <c r="G804" s="5"/>
    </row>
    <row r="805" s="1" customFormat="1" ht="18" customHeight="1" spans="1:7">
      <c r="A805" s="5">
        <v>803</v>
      </c>
      <c r="B805" s="5" t="str">
        <f>"唐纯清"</f>
        <v>唐纯清</v>
      </c>
      <c r="C805" s="5" t="str">
        <f>"70732024101921313930156"</f>
        <v>70732024101921313930156</v>
      </c>
      <c r="D805" s="5" t="str">
        <f t="shared" si="19"/>
        <v>E2024093</v>
      </c>
      <c r="E805" s="5" t="s">
        <v>29</v>
      </c>
      <c r="F805" s="5" t="s">
        <v>30</v>
      </c>
      <c r="G805" s="5"/>
    </row>
    <row r="806" s="1" customFormat="1" ht="18" customHeight="1" spans="1:7">
      <c r="A806" s="5">
        <v>804</v>
      </c>
      <c r="B806" s="5" t="str">
        <f>"彭宗意"</f>
        <v>彭宗意</v>
      </c>
      <c r="C806" s="5" t="str">
        <f>"7073202410142241216306"</f>
        <v>7073202410142241216306</v>
      </c>
      <c r="D806" s="5" t="str">
        <f t="shared" si="19"/>
        <v>E2024093</v>
      </c>
      <c r="E806" s="5" t="s">
        <v>29</v>
      </c>
      <c r="F806" s="5" t="s">
        <v>30</v>
      </c>
      <c r="G806" s="5"/>
    </row>
    <row r="807" s="1" customFormat="1" ht="18" customHeight="1" spans="1:7">
      <c r="A807" s="5">
        <v>805</v>
      </c>
      <c r="B807" s="5" t="str">
        <f>"康晨"</f>
        <v>康晨</v>
      </c>
      <c r="C807" s="5" t="str">
        <f>"70732024102022303233240"</f>
        <v>70732024102022303233240</v>
      </c>
      <c r="D807" s="5" t="str">
        <f t="shared" si="19"/>
        <v>E2024093</v>
      </c>
      <c r="E807" s="5" t="s">
        <v>29</v>
      </c>
      <c r="F807" s="5" t="s">
        <v>30</v>
      </c>
      <c r="G807" s="5"/>
    </row>
    <row r="808" s="1" customFormat="1" ht="18" customHeight="1" spans="1:7">
      <c r="A808" s="5">
        <v>806</v>
      </c>
      <c r="B808" s="5" t="str">
        <f>"朱继锐"</f>
        <v>朱继锐</v>
      </c>
      <c r="C808" s="5" t="str">
        <f>"70732024102022395533283"</f>
        <v>70732024102022395533283</v>
      </c>
      <c r="D808" s="5" t="str">
        <f t="shared" si="19"/>
        <v>E2024093</v>
      </c>
      <c r="E808" s="5" t="s">
        <v>29</v>
      </c>
      <c r="F808" s="5" t="s">
        <v>30</v>
      </c>
      <c r="G808" s="5"/>
    </row>
    <row r="809" s="1" customFormat="1" ht="18" customHeight="1" spans="1:7">
      <c r="A809" s="5">
        <v>807</v>
      </c>
      <c r="B809" s="5" t="str">
        <f>"夏天培"</f>
        <v>夏天培</v>
      </c>
      <c r="C809" s="5" t="str">
        <f>"70732024102110455235912"</f>
        <v>70732024102110455235912</v>
      </c>
      <c r="D809" s="5" t="str">
        <f t="shared" si="19"/>
        <v>E2024093</v>
      </c>
      <c r="E809" s="5" t="s">
        <v>29</v>
      </c>
      <c r="F809" s="5" t="s">
        <v>30</v>
      </c>
      <c r="G809" s="5"/>
    </row>
    <row r="810" s="1" customFormat="1" ht="18" customHeight="1" spans="1:7">
      <c r="A810" s="5">
        <v>808</v>
      </c>
      <c r="B810" s="5" t="str">
        <f>"周砺锋"</f>
        <v>周砺锋</v>
      </c>
      <c r="C810" s="5" t="str">
        <f>"70732024102111500236844"</f>
        <v>70732024102111500236844</v>
      </c>
      <c r="D810" s="5" t="str">
        <f t="shared" si="19"/>
        <v>E2024093</v>
      </c>
      <c r="E810" s="5" t="s">
        <v>29</v>
      </c>
      <c r="F810" s="5" t="s">
        <v>30</v>
      </c>
      <c r="G810" s="5"/>
    </row>
    <row r="811" s="1" customFormat="1" ht="18" customHeight="1" spans="1:7">
      <c r="A811" s="5">
        <v>809</v>
      </c>
      <c r="B811" s="5" t="str">
        <f>"冉航"</f>
        <v>冉航</v>
      </c>
      <c r="C811" s="5" t="str">
        <f>"70732024102117441940667"</f>
        <v>70732024102117441940667</v>
      </c>
      <c r="D811" s="5" t="str">
        <f t="shared" si="19"/>
        <v>E2024093</v>
      </c>
      <c r="E811" s="5" t="s">
        <v>29</v>
      </c>
      <c r="F811" s="5" t="s">
        <v>30</v>
      </c>
      <c r="G811" s="5"/>
    </row>
    <row r="812" s="1" customFormat="1" ht="18" customHeight="1" spans="1:7">
      <c r="A812" s="5">
        <v>810</v>
      </c>
      <c r="B812" s="5" t="str">
        <f>"刘焕林"</f>
        <v>刘焕林</v>
      </c>
      <c r="C812" s="5" t="str">
        <f>"70732024102120334341952"</f>
        <v>70732024102120334341952</v>
      </c>
      <c r="D812" s="5" t="str">
        <f t="shared" si="19"/>
        <v>E2024093</v>
      </c>
      <c r="E812" s="5" t="s">
        <v>29</v>
      </c>
      <c r="F812" s="5" t="s">
        <v>30</v>
      </c>
      <c r="G812" s="5"/>
    </row>
    <row r="813" s="1" customFormat="1" ht="18" customHeight="1" spans="1:7">
      <c r="A813" s="5">
        <v>811</v>
      </c>
      <c r="B813" s="5" t="str">
        <f>"邓贵皇"</f>
        <v>邓贵皇</v>
      </c>
      <c r="C813" s="5" t="str">
        <f>"70732024102208334543358"</f>
        <v>70732024102208334543358</v>
      </c>
      <c r="D813" s="5" t="str">
        <f t="shared" si="19"/>
        <v>E2024093</v>
      </c>
      <c r="E813" s="5" t="s">
        <v>29</v>
      </c>
      <c r="F813" s="5" t="s">
        <v>30</v>
      </c>
      <c r="G813" s="5"/>
    </row>
    <row r="814" s="1" customFormat="1" ht="18" customHeight="1" spans="1:7">
      <c r="A814" s="5">
        <v>812</v>
      </c>
      <c r="B814" s="5" t="str">
        <f>"赵春林"</f>
        <v>赵春林</v>
      </c>
      <c r="C814" s="5" t="str">
        <f>"70732024102217374348169"</f>
        <v>70732024102217374348169</v>
      </c>
      <c r="D814" s="5" t="str">
        <f t="shared" si="19"/>
        <v>E2024093</v>
      </c>
      <c r="E814" s="5" t="s">
        <v>29</v>
      </c>
      <c r="F814" s="5" t="s">
        <v>30</v>
      </c>
      <c r="G814" s="5"/>
    </row>
    <row r="815" s="1" customFormat="1" ht="18" customHeight="1" spans="1:7">
      <c r="A815" s="5">
        <v>813</v>
      </c>
      <c r="B815" s="5" t="str">
        <f>"关东楚"</f>
        <v>关东楚</v>
      </c>
      <c r="C815" s="5" t="str">
        <f>"70732024102217214048065"</f>
        <v>70732024102217214048065</v>
      </c>
      <c r="D815" s="5" t="str">
        <f t="shared" si="19"/>
        <v>E2024093</v>
      </c>
      <c r="E815" s="5" t="s">
        <v>29</v>
      </c>
      <c r="F815" s="5" t="s">
        <v>30</v>
      </c>
      <c r="G815" s="5"/>
    </row>
    <row r="816" s="1" customFormat="1" ht="18" customHeight="1" spans="1:7">
      <c r="A816" s="5">
        <v>814</v>
      </c>
      <c r="B816" s="5" t="str">
        <f>"谭婧"</f>
        <v>谭婧</v>
      </c>
      <c r="C816" s="5" t="str">
        <f>"70732024102217502848261"</f>
        <v>70732024102217502848261</v>
      </c>
      <c r="D816" s="5" t="str">
        <f t="shared" si="19"/>
        <v>E2024093</v>
      </c>
      <c r="E816" s="5" t="s">
        <v>29</v>
      </c>
      <c r="F816" s="5" t="s">
        <v>30</v>
      </c>
      <c r="G816" s="5"/>
    </row>
    <row r="817" s="1" customFormat="1" ht="18" customHeight="1" spans="1:7">
      <c r="A817" s="5">
        <v>815</v>
      </c>
      <c r="B817" s="5" t="str">
        <f>"田可"</f>
        <v>田可</v>
      </c>
      <c r="C817" s="5" t="str">
        <f>"70732024102219005948671"</f>
        <v>70732024102219005948671</v>
      </c>
      <c r="D817" s="5" t="str">
        <f t="shared" si="19"/>
        <v>E2024093</v>
      </c>
      <c r="E817" s="5" t="s">
        <v>29</v>
      </c>
      <c r="F817" s="5" t="s">
        <v>30</v>
      </c>
      <c r="G817" s="5"/>
    </row>
    <row r="818" s="1" customFormat="1" ht="18" customHeight="1" spans="1:7">
      <c r="A818" s="5">
        <v>816</v>
      </c>
      <c r="B818" s="5" t="str">
        <f>"张平"</f>
        <v>张平</v>
      </c>
      <c r="C818" s="5" t="str">
        <f>"7073202410130929073193"</f>
        <v>7073202410130929073193</v>
      </c>
      <c r="D818" s="5" t="str">
        <f t="shared" si="19"/>
        <v>E2024093</v>
      </c>
      <c r="E818" s="5" t="s">
        <v>29</v>
      </c>
      <c r="F818" s="5" t="s">
        <v>30</v>
      </c>
      <c r="G818" s="5"/>
    </row>
    <row r="819" s="1" customFormat="1" ht="18" customHeight="1" spans="1:7">
      <c r="A819" s="5">
        <v>817</v>
      </c>
      <c r="B819" s="5" t="str">
        <f>"雷永洲"</f>
        <v>雷永洲</v>
      </c>
      <c r="C819" s="5" t="str">
        <f>"70732024102221083149635"</f>
        <v>70732024102221083149635</v>
      </c>
      <c r="D819" s="5" t="str">
        <f t="shared" si="19"/>
        <v>E2024093</v>
      </c>
      <c r="E819" s="5" t="s">
        <v>29</v>
      </c>
      <c r="F819" s="5" t="s">
        <v>30</v>
      </c>
      <c r="G819" s="5"/>
    </row>
    <row r="820" s="1" customFormat="1" ht="18" customHeight="1" spans="1:7">
      <c r="A820" s="5">
        <v>818</v>
      </c>
      <c r="B820" s="5" t="str">
        <f>"胡正豪"</f>
        <v>胡正豪</v>
      </c>
      <c r="C820" s="5" t="str">
        <f>"70732024102309572852563"</f>
        <v>70732024102309572852563</v>
      </c>
      <c r="D820" s="5" t="str">
        <f t="shared" si="19"/>
        <v>E2024093</v>
      </c>
      <c r="E820" s="5" t="s">
        <v>29</v>
      </c>
      <c r="F820" s="5" t="s">
        <v>30</v>
      </c>
      <c r="G820" s="5"/>
    </row>
    <row r="821" s="1" customFormat="1" ht="18" customHeight="1" spans="1:7">
      <c r="A821" s="5">
        <v>819</v>
      </c>
      <c r="B821" s="5" t="str">
        <f>"邓立"</f>
        <v>邓立</v>
      </c>
      <c r="C821" s="5" t="str">
        <f>"70732024102311135754202"</f>
        <v>70732024102311135754202</v>
      </c>
      <c r="D821" s="5" t="str">
        <f t="shared" si="19"/>
        <v>E2024093</v>
      </c>
      <c r="E821" s="5" t="s">
        <v>29</v>
      </c>
      <c r="F821" s="5" t="s">
        <v>30</v>
      </c>
      <c r="G821" s="5"/>
    </row>
    <row r="822" s="1" customFormat="1" ht="18" customHeight="1" spans="1:7">
      <c r="A822" s="5">
        <v>820</v>
      </c>
      <c r="B822" s="5" t="str">
        <f>"刘言"</f>
        <v>刘言</v>
      </c>
      <c r="C822" s="5" t="str">
        <f>"70732024102312223755093"</f>
        <v>70732024102312223755093</v>
      </c>
      <c r="D822" s="5" t="str">
        <f t="shared" si="19"/>
        <v>E2024093</v>
      </c>
      <c r="E822" s="5" t="s">
        <v>29</v>
      </c>
      <c r="F822" s="5" t="s">
        <v>30</v>
      </c>
      <c r="G822" s="5"/>
    </row>
    <row r="823" s="1" customFormat="1" ht="18" customHeight="1" spans="1:7">
      <c r="A823" s="5">
        <v>821</v>
      </c>
      <c r="B823" s="5" t="str">
        <f>"牟伦涛"</f>
        <v>牟伦涛</v>
      </c>
      <c r="C823" s="5" t="str">
        <f>"70732024102308505151074"</f>
        <v>70732024102308505151074</v>
      </c>
      <c r="D823" s="5" t="str">
        <f t="shared" si="19"/>
        <v>E2024093</v>
      </c>
      <c r="E823" s="5" t="s">
        <v>29</v>
      </c>
      <c r="F823" s="5" t="s">
        <v>30</v>
      </c>
      <c r="G823" s="5"/>
    </row>
    <row r="824" s="1" customFormat="1" ht="18" customHeight="1" spans="1:7">
      <c r="A824" s="5">
        <v>822</v>
      </c>
      <c r="B824" s="5" t="str">
        <f>"覃小"</f>
        <v>覃小</v>
      </c>
      <c r="C824" s="5" t="str">
        <f>"70732024102313203355781"</f>
        <v>70732024102313203355781</v>
      </c>
      <c r="D824" s="5" t="str">
        <f t="shared" si="19"/>
        <v>E2024093</v>
      </c>
      <c r="E824" s="5" t="s">
        <v>29</v>
      </c>
      <c r="F824" s="5" t="s">
        <v>30</v>
      </c>
      <c r="G824" s="5"/>
    </row>
    <row r="825" s="1" customFormat="1" ht="18" customHeight="1" spans="1:7">
      <c r="A825" s="5">
        <v>823</v>
      </c>
      <c r="B825" s="5" t="str">
        <f>"杨硕"</f>
        <v>杨硕</v>
      </c>
      <c r="C825" s="5" t="str">
        <f>"70732024102316533858648"</f>
        <v>70732024102316533858648</v>
      </c>
      <c r="D825" s="5" t="str">
        <f t="shared" si="19"/>
        <v>E2024093</v>
      </c>
      <c r="E825" s="5" t="s">
        <v>29</v>
      </c>
      <c r="F825" s="5" t="s">
        <v>30</v>
      </c>
      <c r="G825" s="5"/>
    </row>
    <row r="826" s="1" customFormat="1" ht="18" customHeight="1" spans="1:7">
      <c r="A826" s="5">
        <v>824</v>
      </c>
      <c r="B826" s="5" t="str">
        <f>"向美玲"</f>
        <v>向美玲</v>
      </c>
      <c r="C826" s="5" t="str">
        <f>"70732024102313160555734"</f>
        <v>70732024102313160555734</v>
      </c>
      <c r="D826" s="5" t="str">
        <f t="shared" si="19"/>
        <v>E2024093</v>
      </c>
      <c r="E826" s="5" t="s">
        <v>29</v>
      </c>
      <c r="F826" s="5" t="s">
        <v>30</v>
      </c>
      <c r="G826" s="5"/>
    </row>
    <row r="827" s="1" customFormat="1" ht="18" customHeight="1" spans="1:7">
      <c r="A827" s="5">
        <v>825</v>
      </c>
      <c r="B827" s="5" t="str">
        <f>"刘建"</f>
        <v>刘建</v>
      </c>
      <c r="C827" s="5" t="str">
        <f>"70732024102319510960462"</f>
        <v>70732024102319510960462</v>
      </c>
      <c r="D827" s="5" t="str">
        <f t="shared" si="19"/>
        <v>E2024093</v>
      </c>
      <c r="E827" s="5" t="s">
        <v>29</v>
      </c>
      <c r="F827" s="5" t="s">
        <v>30</v>
      </c>
      <c r="G827" s="5"/>
    </row>
    <row r="828" s="1" customFormat="1" ht="18" customHeight="1" spans="1:7">
      <c r="A828" s="5">
        <v>826</v>
      </c>
      <c r="B828" s="5" t="str">
        <f>"雷雳"</f>
        <v>雷雳</v>
      </c>
      <c r="C828" s="5" t="str">
        <f>"7073202410120951021687"</f>
        <v>7073202410120951021687</v>
      </c>
      <c r="D828" s="5" t="str">
        <f t="shared" si="19"/>
        <v>E2024093</v>
      </c>
      <c r="E828" s="5" t="s">
        <v>29</v>
      </c>
      <c r="F828" s="5" t="s">
        <v>30</v>
      </c>
      <c r="G828" s="5"/>
    </row>
    <row r="829" s="1" customFormat="1" ht="18" customHeight="1" spans="1:7">
      <c r="A829" s="5">
        <v>827</v>
      </c>
      <c r="B829" s="5" t="str">
        <f>"陶林"</f>
        <v>陶林</v>
      </c>
      <c r="C829" s="5" t="str">
        <f>"7073202410121053581919"</f>
        <v>7073202410121053581919</v>
      </c>
      <c r="D829" s="5" t="str">
        <f t="shared" si="19"/>
        <v>E2024093</v>
      </c>
      <c r="E829" s="5" t="s">
        <v>29</v>
      </c>
      <c r="F829" s="5" t="s">
        <v>30</v>
      </c>
      <c r="G829" s="5"/>
    </row>
    <row r="830" s="1" customFormat="1" ht="18" customHeight="1" spans="1:7">
      <c r="A830" s="5">
        <v>828</v>
      </c>
      <c r="B830" s="5" t="str">
        <f>"雷挺"</f>
        <v>雷挺</v>
      </c>
      <c r="C830" s="5" t="str">
        <f>"70732024102412411866306"</f>
        <v>70732024102412411866306</v>
      </c>
      <c r="D830" s="5" t="str">
        <f t="shared" si="19"/>
        <v>E2024093</v>
      </c>
      <c r="E830" s="5" t="s">
        <v>29</v>
      </c>
      <c r="F830" s="5" t="s">
        <v>30</v>
      </c>
      <c r="G830" s="5"/>
    </row>
    <row r="831" s="1" customFormat="1" ht="18" customHeight="1" spans="1:7">
      <c r="A831" s="5">
        <v>829</v>
      </c>
      <c r="B831" s="5" t="str">
        <f>"瞿飞"</f>
        <v>瞿飞</v>
      </c>
      <c r="C831" s="5" t="str">
        <f>"70732024102417003769009"</f>
        <v>70732024102417003769009</v>
      </c>
      <c r="D831" s="5" t="str">
        <f t="shared" si="19"/>
        <v>E2024093</v>
      </c>
      <c r="E831" s="5" t="s">
        <v>29</v>
      </c>
      <c r="F831" s="5" t="s">
        <v>30</v>
      </c>
      <c r="G831" s="5"/>
    </row>
    <row r="832" s="1" customFormat="1" ht="18" customHeight="1" spans="1:7">
      <c r="A832" s="5">
        <v>830</v>
      </c>
      <c r="B832" s="5" t="str">
        <f>"吴海忠"</f>
        <v>吴海忠</v>
      </c>
      <c r="C832" s="5" t="str">
        <f>"70732024102417415069391"</f>
        <v>70732024102417415069391</v>
      </c>
      <c r="D832" s="5" t="str">
        <f t="shared" si="19"/>
        <v>E2024093</v>
      </c>
      <c r="E832" s="5" t="s">
        <v>29</v>
      </c>
      <c r="F832" s="5" t="s">
        <v>30</v>
      </c>
      <c r="G832" s="5"/>
    </row>
    <row r="833" s="1" customFormat="1" ht="18" customHeight="1" spans="1:7">
      <c r="A833" s="5">
        <v>831</v>
      </c>
      <c r="B833" s="5" t="str">
        <f>"段红"</f>
        <v>段红</v>
      </c>
      <c r="C833" s="5" t="str">
        <f>"70732024102511081674570"</f>
        <v>70732024102511081674570</v>
      </c>
      <c r="D833" s="5" t="str">
        <f t="shared" si="19"/>
        <v>E2024093</v>
      </c>
      <c r="E833" s="5" t="s">
        <v>29</v>
      </c>
      <c r="F833" s="5" t="s">
        <v>30</v>
      </c>
      <c r="G833" s="5"/>
    </row>
    <row r="834" s="1" customFormat="1" ht="18" customHeight="1" spans="1:7">
      <c r="A834" s="5">
        <v>832</v>
      </c>
      <c r="B834" s="5" t="str">
        <f>"晏警"</f>
        <v>晏警</v>
      </c>
      <c r="C834" s="5" t="str">
        <f>"70732024102506525972776"</f>
        <v>70732024102506525972776</v>
      </c>
      <c r="D834" s="5" t="str">
        <f t="shared" si="19"/>
        <v>E2024093</v>
      </c>
      <c r="E834" s="5" t="s">
        <v>29</v>
      </c>
      <c r="F834" s="5" t="s">
        <v>30</v>
      </c>
      <c r="G834" s="5"/>
    </row>
    <row r="835" s="1" customFormat="1" ht="18" customHeight="1" spans="1:7">
      <c r="A835" s="5">
        <v>833</v>
      </c>
      <c r="B835" s="5" t="str">
        <f>"陶义"</f>
        <v>陶义</v>
      </c>
      <c r="C835" s="5" t="str">
        <f>"70732024102513062175609"</f>
        <v>70732024102513062175609</v>
      </c>
      <c r="D835" s="5" t="str">
        <f t="shared" si="19"/>
        <v>E2024093</v>
      </c>
      <c r="E835" s="5" t="s">
        <v>29</v>
      </c>
      <c r="F835" s="5" t="s">
        <v>30</v>
      </c>
      <c r="G835" s="5"/>
    </row>
    <row r="836" s="1" customFormat="1" ht="18" customHeight="1" spans="1:7">
      <c r="A836" s="5">
        <v>834</v>
      </c>
      <c r="B836" s="5" t="str">
        <f>"夏玉鑫"</f>
        <v>夏玉鑫</v>
      </c>
      <c r="C836" s="5" t="str">
        <f>"70732024102116154839571"</f>
        <v>70732024102116154839571</v>
      </c>
      <c r="D836" s="5" t="str">
        <f t="shared" si="19"/>
        <v>E2024093</v>
      </c>
      <c r="E836" s="5" t="s">
        <v>29</v>
      </c>
      <c r="F836" s="5" t="s">
        <v>30</v>
      </c>
      <c r="G836" s="5"/>
    </row>
    <row r="837" s="1" customFormat="1" ht="18" customHeight="1" spans="1:7">
      <c r="A837" s="5">
        <v>835</v>
      </c>
      <c r="B837" s="5" t="str">
        <f>"谭琴"</f>
        <v>谭琴</v>
      </c>
      <c r="C837" s="5" t="str">
        <f>"7073202410120906551505"</f>
        <v>7073202410120906551505</v>
      </c>
      <c r="D837" s="5" t="str">
        <f t="shared" ref="D837:D900" si="20">"E2024094"</f>
        <v>E2024094</v>
      </c>
      <c r="E837" s="5" t="s">
        <v>31</v>
      </c>
      <c r="F837" s="5" t="s">
        <v>32</v>
      </c>
      <c r="G837" s="5"/>
    </row>
    <row r="838" s="1" customFormat="1" ht="18" customHeight="1" spans="1:7">
      <c r="A838" s="5">
        <v>836</v>
      </c>
      <c r="B838" s="5" t="str">
        <f>"肖楚苒"</f>
        <v>肖楚苒</v>
      </c>
      <c r="C838" s="5" t="str">
        <f>"7073202410120922461580"</f>
        <v>7073202410120922461580</v>
      </c>
      <c r="D838" s="5" t="str">
        <f t="shared" si="20"/>
        <v>E2024094</v>
      </c>
      <c r="E838" s="5" t="s">
        <v>31</v>
      </c>
      <c r="F838" s="5" t="s">
        <v>32</v>
      </c>
      <c r="G838" s="5"/>
    </row>
    <row r="839" s="1" customFormat="1" ht="18" customHeight="1" spans="1:7">
      <c r="A839" s="5">
        <v>837</v>
      </c>
      <c r="B839" s="5" t="str">
        <f>"虞高瑶"</f>
        <v>虞高瑶</v>
      </c>
      <c r="C839" s="5" t="str">
        <f>"7073202410120921221573"</f>
        <v>7073202410120921221573</v>
      </c>
      <c r="D839" s="5" t="str">
        <f t="shared" si="20"/>
        <v>E2024094</v>
      </c>
      <c r="E839" s="5" t="s">
        <v>31</v>
      </c>
      <c r="F839" s="5" t="s">
        <v>32</v>
      </c>
      <c r="G839" s="5"/>
    </row>
    <row r="840" s="1" customFormat="1" ht="18" customHeight="1" spans="1:7">
      <c r="A840" s="5">
        <v>838</v>
      </c>
      <c r="B840" s="5" t="str">
        <f>"田雪"</f>
        <v>田雪</v>
      </c>
      <c r="C840" s="5" t="str">
        <f>"7073202410120938561643"</f>
        <v>7073202410120938561643</v>
      </c>
      <c r="D840" s="5" t="str">
        <f t="shared" si="20"/>
        <v>E2024094</v>
      </c>
      <c r="E840" s="5" t="s">
        <v>31</v>
      </c>
      <c r="F840" s="5" t="s">
        <v>32</v>
      </c>
      <c r="G840" s="5"/>
    </row>
    <row r="841" s="1" customFormat="1" ht="18" customHeight="1" spans="1:7">
      <c r="A841" s="5">
        <v>839</v>
      </c>
      <c r="B841" s="5" t="str">
        <f>"向磊"</f>
        <v>向磊</v>
      </c>
      <c r="C841" s="5" t="str">
        <f>"7073202410120937401636"</f>
        <v>7073202410120937401636</v>
      </c>
      <c r="D841" s="5" t="str">
        <f t="shared" si="20"/>
        <v>E2024094</v>
      </c>
      <c r="E841" s="5" t="s">
        <v>31</v>
      </c>
      <c r="F841" s="5" t="s">
        <v>32</v>
      </c>
      <c r="G841" s="5"/>
    </row>
    <row r="842" s="1" customFormat="1" ht="18" customHeight="1" spans="1:7">
      <c r="A842" s="5">
        <v>840</v>
      </c>
      <c r="B842" s="5" t="str">
        <f>"张武"</f>
        <v>张武</v>
      </c>
      <c r="C842" s="5" t="str">
        <f>"7073202410121012171777"</f>
        <v>7073202410121012171777</v>
      </c>
      <c r="D842" s="5" t="str">
        <f t="shared" si="20"/>
        <v>E2024094</v>
      </c>
      <c r="E842" s="5" t="s">
        <v>31</v>
      </c>
      <c r="F842" s="5" t="s">
        <v>32</v>
      </c>
      <c r="G842" s="5"/>
    </row>
    <row r="843" s="1" customFormat="1" ht="18" customHeight="1" spans="1:7">
      <c r="A843" s="5">
        <v>841</v>
      </c>
      <c r="B843" s="5" t="str">
        <f>"樊存玲"</f>
        <v>樊存玲</v>
      </c>
      <c r="C843" s="5" t="str">
        <f>"7073202410121036051861"</f>
        <v>7073202410121036051861</v>
      </c>
      <c r="D843" s="5" t="str">
        <f t="shared" si="20"/>
        <v>E2024094</v>
      </c>
      <c r="E843" s="5" t="s">
        <v>31</v>
      </c>
      <c r="F843" s="5" t="s">
        <v>32</v>
      </c>
      <c r="G843" s="5"/>
    </row>
    <row r="844" s="1" customFormat="1" ht="18" customHeight="1" spans="1:7">
      <c r="A844" s="5">
        <v>842</v>
      </c>
      <c r="B844" s="5" t="str">
        <f>"刘翻"</f>
        <v>刘翻</v>
      </c>
      <c r="C844" s="5" t="str">
        <f>"7073202410121029331840"</f>
        <v>7073202410121029331840</v>
      </c>
      <c r="D844" s="5" t="str">
        <f t="shared" si="20"/>
        <v>E2024094</v>
      </c>
      <c r="E844" s="5" t="s">
        <v>31</v>
      </c>
      <c r="F844" s="5" t="s">
        <v>32</v>
      </c>
      <c r="G844" s="5"/>
    </row>
    <row r="845" s="1" customFormat="1" ht="18" customHeight="1" spans="1:7">
      <c r="A845" s="5">
        <v>843</v>
      </c>
      <c r="B845" s="5" t="str">
        <f>"周玉"</f>
        <v>周玉</v>
      </c>
      <c r="C845" s="5" t="str">
        <f>"7073202410121241322202"</f>
        <v>7073202410121241322202</v>
      </c>
      <c r="D845" s="5" t="str">
        <f t="shared" si="20"/>
        <v>E2024094</v>
      </c>
      <c r="E845" s="5" t="s">
        <v>31</v>
      </c>
      <c r="F845" s="5" t="s">
        <v>32</v>
      </c>
      <c r="G845" s="5"/>
    </row>
    <row r="846" s="1" customFormat="1" ht="18" customHeight="1" spans="1:7">
      <c r="A846" s="5">
        <v>844</v>
      </c>
      <c r="B846" s="5" t="str">
        <f>"丁琳钒"</f>
        <v>丁琳钒</v>
      </c>
      <c r="C846" s="5" t="str">
        <f>"7073202410121404092348"</f>
        <v>7073202410121404092348</v>
      </c>
      <c r="D846" s="5" t="str">
        <f t="shared" si="20"/>
        <v>E2024094</v>
      </c>
      <c r="E846" s="5" t="s">
        <v>31</v>
      </c>
      <c r="F846" s="5" t="s">
        <v>32</v>
      </c>
      <c r="G846" s="5"/>
    </row>
    <row r="847" s="1" customFormat="1" ht="18" customHeight="1" spans="1:7">
      <c r="A847" s="5">
        <v>845</v>
      </c>
      <c r="B847" s="5" t="str">
        <f>"骆意文"</f>
        <v>骆意文</v>
      </c>
      <c r="C847" s="5" t="str">
        <f>"7073202410121448062431"</f>
        <v>7073202410121448062431</v>
      </c>
      <c r="D847" s="5" t="str">
        <f t="shared" si="20"/>
        <v>E2024094</v>
      </c>
      <c r="E847" s="5" t="s">
        <v>31</v>
      </c>
      <c r="F847" s="5" t="s">
        <v>32</v>
      </c>
      <c r="G847" s="5"/>
    </row>
    <row r="848" s="1" customFormat="1" ht="18" customHeight="1" spans="1:7">
      <c r="A848" s="5">
        <v>846</v>
      </c>
      <c r="B848" s="5" t="str">
        <f>"向红"</f>
        <v>向红</v>
      </c>
      <c r="C848" s="5" t="str">
        <f>"7073202410121040121869"</f>
        <v>7073202410121040121869</v>
      </c>
      <c r="D848" s="5" t="str">
        <f t="shared" si="20"/>
        <v>E2024094</v>
      </c>
      <c r="E848" s="5" t="s">
        <v>31</v>
      </c>
      <c r="F848" s="5" t="s">
        <v>32</v>
      </c>
      <c r="G848" s="5"/>
    </row>
    <row r="849" s="1" customFormat="1" ht="18" customHeight="1" spans="1:7">
      <c r="A849" s="5">
        <v>847</v>
      </c>
      <c r="B849" s="5" t="str">
        <f>"杨汝兰"</f>
        <v>杨汝兰</v>
      </c>
      <c r="C849" s="5" t="str">
        <f>"7073202410121548502553"</f>
        <v>7073202410121548502553</v>
      </c>
      <c r="D849" s="5" t="str">
        <f t="shared" si="20"/>
        <v>E2024094</v>
      </c>
      <c r="E849" s="5" t="s">
        <v>31</v>
      </c>
      <c r="F849" s="5" t="s">
        <v>32</v>
      </c>
      <c r="G849" s="5"/>
    </row>
    <row r="850" s="1" customFormat="1" ht="18" customHeight="1" spans="1:7">
      <c r="A850" s="5">
        <v>848</v>
      </c>
      <c r="B850" s="5" t="str">
        <f>"刘贵绒"</f>
        <v>刘贵绒</v>
      </c>
      <c r="C850" s="5" t="str">
        <f>"7073202410121614572620"</f>
        <v>7073202410121614572620</v>
      </c>
      <c r="D850" s="5" t="str">
        <f t="shared" si="20"/>
        <v>E2024094</v>
      </c>
      <c r="E850" s="5" t="s">
        <v>31</v>
      </c>
      <c r="F850" s="5" t="s">
        <v>32</v>
      </c>
      <c r="G850" s="5"/>
    </row>
    <row r="851" s="1" customFormat="1" ht="18" customHeight="1" spans="1:7">
      <c r="A851" s="5">
        <v>849</v>
      </c>
      <c r="B851" s="5" t="str">
        <f>"雷果果"</f>
        <v>雷果果</v>
      </c>
      <c r="C851" s="5" t="str">
        <f>"7073202410120905021494"</f>
        <v>7073202410120905021494</v>
      </c>
      <c r="D851" s="5" t="str">
        <f t="shared" si="20"/>
        <v>E2024094</v>
      </c>
      <c r="E851" s="5" t="s">
        <v>31</v>
      </c>
      <c r="F851" s="5" t="s">
        <v>32</v>
      </c>
      <c r="G851" s="5"/>
    </row>
    <row r="852" s="1" customFormat="1" ht="18" customHeight="1" spans="1:7">
      <c r="A852" s="5">
        <v>850</v>
      </c>
      <c r="B852" s="5" t="str">
        <f>"向来"</f>
        <v>向来</v>
      </c>
      <c r="C852" s="5" t="str">
        <f>"7073202410121702162710"</f>
        <v>7073202410121702162710</v>
      </c>
      <c r="D852" s="5" t="str">
        <f t="shared" si="20"/>
        <v>E2024094</v>
      </c>
      <c r="E852" s="5" t="s">
        <v>31</v>
      </c>
      <c r="F852" s="5" t="s">
        <v>32</v>
      </c>
      <c r="G852" s="5"/>
    </row>
    <row r="853" s="1" customFormat="1" ht="18" customHeight="1" spans="1:7">
      <c r="A853" s="5">
        <v>851</v>
      </c>
      <c r="B853" s="5" t="str">
        <f>"刘楚平"</f>
        <v>刘楚平</v>
      </c>
      <c r="C853" s="5" t="str">
        <f>"7073202410121940042901"</f>
        <v>7073202410121940042901</v>
      </c>
      <c r="D853" s="5" t="str">
        <f t="shared" si="20"/>
        <v>E2024094</v>
      </c>
      <c r="E853" s="5" t="s">
        <v>31</v>
      </c>
      <c r="F853" s="5" t="s">
        <v>32</v>
      </c>
      <c r="G853" s="5"/>
    </row>
    <row r="854" s="1" customFormat="1" ht="18" customHeight="1" spans="1:7">
      <c r="A854" s="5">
        <v>852</v>
      </c>
      <c r="B854" s="5" t="str">
        <f>"余娅"</f>
        <v>余娅</v>
      </c>
      <c r="C854" s="5" t="str">
        <f>"7073202410121950162911"</f>
        <v>7073202410121950162911</v>
      </c>
      <c r="D854" s="5" t="str">
        <f t="shared" si="20"/>
        <v>E2024094</v>
      </c>
      <c r="E854" s="5" t="s">
        <v>31</v>
      </c>
      <c r="F854" s="5" t="s">
        <v>32</v>
      </c>
      <c r="G854" s="5"/>
    </row>
    <row r="855" s="1" customFormat="1" ht="18" customHeight="1" spans="1:7">
      <c r="A855" s="5">
        <v>853</v>
      </c>
      <c r="B855" s="5" t="str">
        <f>"陈欣"</f>
        <v>陈欣</v>
      </c>
      <c r="C855" s="5" t="str">
        <f>"7073202410122055132983"</f>
        <v>7073202410122055132983</v>
      </c>
      <c r="D855" s="5" t="str">
        <f t="shared" si="20"/>
        <v>E2024094</v>
      </c>
      <c r="E855" s="5" t="s">
        <v>31</v>
      </c>
      <c r="F855" s="5" t="s">
        <v>32</v>
      </c>
      <c r="G855" s="5"/>
    </row>
    <row r="856" s="1" customFormat="1" ht="18" customHeight="1" spans="1:7">
      <c r="A856" s="5">
        <v>854</v>
      </c>
      <c r="B856" s="5" t="str">
        <f>"华凤玲"</f>
        <v>华凤玲</v>
      </c>
      <c r="C856" s="5" t="str">
        <f>"7073202410122101062990"</f>
        <v>7073202410122101062990</v>
      </c>
      <c r="D856" s="5" t="str">
        <f t="shared" si="20"/>
        <v>E2024094</v>
      </c>
      <c r="E856" s="5" t="s">
        <v>31</v>
      </c>
      <c r="F856" s="5" t="s">
        <v>32</v>
      </c>
      <c r="G856" s="5"/>
    </row>
    <row r="857" s="1" customFormat="1" ht="18" customHeight="1" spans="1:7">
      <c r="A857" s="5">
        <v>855</v>
      </c>
      <c r="B857" s="5" t="str">
        <f>"徐洋"</f>
        <v>徐洋</v>
      </c>
      <c r="C857" s="5" t="str">
        <f>"7073202410122242383082"</f>
        <v>7073202410122242383082</v>
      </c>
      <c r="D857" s="5" t="str">
        <f t="shared" si="20"/>
        <v>E2024094</v>
      </c>
      <c r="E857" s="5" t="s">
        <v>31</v>
      </c>
      <c r="F857" s="5" t="s">
        <v>32</v>
      </c>
      <c r="G857" s="5"/>
    </row>
    <row r="858" s="1" customFormat="1" ht="18" customHeight="1" spans="1:7">
      <c r="A858" s="5">
        <v>856</v>
      </c>
      <c r="B858" s="5" t="str">
        <f>"杨婧"</f>
        <v>杨婧</v>
      </c>
      <c r="C858" s="5" t="str">
        <f>"7073202410122243313083"</f>
        <v>7073202410122243313083</v>
      </c>
      <c r="D858" s="5" t="str">
        <f t="shared" si="20"/>
        <v>E2024094</v>
      </c>
      <c r="E858" s="5" t="s">
        <v>31</v>
      </c>
      <c r="F858" s="5" t="s">
        <v>32</v>
      </c>
      <c r="G858" s="5"/>
    </row>
    <row r="859" s="1" customFormat="1" ht="18" customHeight="1" spans="1:7">
      <c r="A859" s="5">
        <v>857</v>
      </c>
      <c r="B859" s="5" t="str">
        <f>"雷廷锋"</f>
        <v>雷廷锋</v>
      </c>
      <c r="C859" s="5" t="str">
        <f>"7073202410130704333139"</f>
        <v>7073202410130704333139</v>
      </c>
      <c r="D859" s="5" t="str">
        <f t="shared" si="20"/>
        <v>E2024094</v>
      </c>
      <c r="E859" s="5" t="s">
        <v>31</v>
      </c>
      <c r="F859" s="5" t="s">
        <v>32</v>
      </c>
      <c r="G859" s="5"/>
    </row>
    <row r="860" s="1" customFormat="1" ht="18" customHeight="1" spans="1:7">
      <c r="A860" s="5">
        <v>858</v>
      </c>
      <c r="B860" s="5" t="str">
        <f>"李鹤立"</f>
        <v>李鹤立</v>
      </c>
      <c r="C860" s="5" t="str">
        <f>"7073202410130821093152"</f>
        <v>7073202410130821093152</v>
      </c>
      <c r="D860" s="5" t="str">
        <f t="shared" si="20"/>
        <v>E2024094</v>
      </c>
      <c r="E860" s="5" t="s">
        <v>31</v>
      </c>
      <c r="F860" s="5" t="s">
        <v>32</v>
      </c>
      <c r="G860" s="5"/>
    </row>
    <row r="861" s="1" customFormat="1" ht="18" customHeight="1" spans="1:7">
      <c r="A861" s="5">
        <v>859</v>
      </c>
      <c r="B861" s="5" t="str">
        <f>"朱安妮"</f>
        <v>朱安妮</v>
      </c>
      <c r="C861" s="5" t="str">
        <f>"7073202410130945513206"</f>
        <v>7073202410130945513206</v>
      </c>
      <c r="D861" s="5" t="str">
        <f t="shared" si="20"/>
        <v>E2024094</v>
      </c>
      <c r="E861" s="5" t="s">
        <v>31</v>
      </c>
      <c r="F861" s="5" t="s">
        <v>32</v>
      </c>
      <c r="G861" s="5"/>
    </row>
    <row r="862" s="1" customFormat="1" ht="18" customHeight="1" spans="1:7">
      <c r="A862" s="5">
        <v>860</v>
      </c>
      <c r="B862" s="5" t="str">
        <f>"李晶晶"</f>
        <v>李晶晶</v>
      </c>
      <c r="C862" s="5" t="str">
        <f>"7073202410131034193250"</f>
        <v>7073202410131034193250</v>
      </c>
      <c r="D862" s="5" t="str">
        <f t="shared" si="20"/>
        <v>E2024094</v>
      </c>
      <c r="E862" s="5" t="s">
        <v>31</v>
      </c>
      <c r="F862" s="5" t="s">
        <v>32</v>
      </c>
      <c r="G862" s="5"/>
    </row>
    <row r="863" s="1" customFormat="1" ht="18" customHeight="1" spans="1:7">
      <c r="A863" s="5">
        <v>861</v>
      </c>
      <c r="B863" s="5" t="str">
        <f>"安玉洁"</f>
        <v>安玉洁</v>
      </c>
      <c r="C863" s="5" t="str">
        <f>"7073202410131150043322"</f>
        <v>7073202410131150043322</v>
      </c>
      <c r="D863" s="5" t="str">
        <f t="shared" si="20"/>
        <v>E2024094</v>
      </c>
      <c r="E863" s="5" t="s">
        <v>31</v>
      </c>
      <c r="F863" s="5" t="s">
        <v>32</v>
      </c>
      <c r="G863" s="5"/>
    </row>
    <row r="864" s="1" customFormat="1" ht="18" customHeight="1" spans="1:7">
      <c r="A864" s="5">
        <v>862</v>
      </c>
      <c r="B864" s="5" t="str">
        <f>"戴鹏"</f>
        <v>戴鹏</v>
      </c>
      <c r="C864" s="5" t="str">
        <f>"7073202410131235413363"</f>
        <v>7073202410131235413363</v>
      </c>
      <c r="D864" s="5" t="str">
        <f t="shared" si="20"/>
        <v>E2024094</v>
      </c>
      <c r="E864" s="5" t="s">
        <v>31</v>
      </c>
      <c r="F864" s="5" t="s">
        <v>32</v>
      </c>
      <c r="G864" s="5"/>
    </row>
    <row r="865" s="1" customFormat="1" ht="18" customHeight="1" spans="1:7">
      <c r="A865" s="5">
        <v>863</v>
      </c>
      <c r="B865" s="5" t="str">
        <f>"赵乾"</f>
        <v>赵乾</v>
      </c>
      <c r="C865" s="5" t="str">
        <f>"7073202410131335073414"</f>
        <v>7073202410131335073414</v>
      </c>
      <c r="D865" s="5" t="str">
        <f t="shared" si="20"/>
        <v>E2024094</v>
      </c>
      <c r="E865" s="5" t="s">
        <v>31</v>
      </c>
      <c r="F865" s="5" t="s">
        <v>32</v>
      </c>
      <c r="G865" s="5"/>
    </row>
    <row r="866" s="1" customFormat="1" ht="18" customHeight="1" spans="1:7">
      <c r="A866" s="5">
        <v>864</v>
      </c>
      <c r="B866" s="5" t="str">
        <f>"牟洵"</f>
        <v>牟洵</v>
      </c>
      <c r="C866" s="5" t="str">
        <f>"7073202410131236533365"</f>
        <v>7073202410131236533365</v>
      </c>
      <c r="D866" s="5" t="str">
        <f t="shared" si="20"/>
        <v>E2024094</v>
      </c>
      <c r="E866" s="5" t="s">
        <v>31</v>
      </c>
      <c r="F866" s="5" t="s">
        <v>32</v>
      </c>
      <c r="G866" s="5"/>
    </row>
    <row r="867" s="1" customFormat="1" ht="18" customHeight="1" spans="1:7">
      <c r="A867" s="5">
        <v>865</v>
      </c>
      <c r="B867" s="5" t="str">
        <f>"李玥"</f>
        <v>李玥</v>
      </c>
      <c r="C867" s="5" t="str">
        <f>"7073202410131637003586"</f>
        <v>7073202410131637003586</v>
      </c>
      <c r="D867" s="5" t="str">
        <f t="shared" si="20"/>
        <v>E2024094</v>
      </c>
      <c r="E867" s="5" t="s">
        <v>31</v>
      </c>
      <c r="F867" s="5" t="s">
        <v>32</v>
      </c>
      <c r="G867" s="5"/>
    </row>
    <row r="868" s="1" customFormat="1" ht="18" customHeight="1" spans="1:7">
      <c r="A868" s="5">
        <v>866</v>
      </c>
      <c r="B868" s="5" t="str">
        <f>"牟若冰"</f>
        <v>牟若冰</v>
      </c>
      <c r="C868" s="5" t="str">
        <f>"7073202410131947433745"</f>
        <v>7073202410131947433745</v>
      </c>
      <c r="D868" s="5" t="str">
        <f t="shared" si="20"/>
        <v>E2024094</v>
      </c>
      <c r="E868" s="5" t="s">
        <v>31</v>
      </c>
      <c r="F868" s="5" t="s">
        <v>32</v>
      </c>
      <c r="G868" s="5"/>
    </row>
    <row r="869" s="1" customFormat="1" ht="18" customHeight="1" spans="1:7">
      <c r="A869" s="5">
        <v>867</v>
      </c>
      <c r="B869" s="5" t="str">
        <f>"向家伟"</f>
        <v>向家伟</v>
      </c>
      <c r="C869" s="5" t="str">
        <f>"7073202410132117233834"</f>
        <v>7073202410132117233834</v>
      </c>
      <c r="D869" s="5" t="str">
        <f t="shared" si="20"/>
        <v>E2024094</v>
      </c>
      <c r="E869" s="5" t="s">
        <v>31</v>
      </c>
      <c r="F869" s="5" t="s">
        <v>32</v>
      </c>
      <c r="G869" s="5"/>
    </row>
    <row r="870" s="1" customFormat="1" ht="18" customHeight="1" spans="1:7">
      <c r="A870" s="5">
        <v>868</v>
      </c>
      <c r="B870" s="5" t="str">
        <f>"刘晓芬"</f>
        <v>刘晓芬</v>
      </c>
      <c r="C870" s="5" t="str">
        <f>"7073202410121428102387"</f>
        <v>7073202410121428102387</v>
      </c>
      <c r="D870" s="5" t="str">
        <f t="shared" si="20"/>
        <v>E2024094</v>
      </c>
      <c r="E870" s="5" t="s">
        <v>31</v>
      </c>
      <c r="F870" s="5" t="s">
        <v>32</v>
      </c>
      <c r="G870" s="5"/>
    </row>
    <row r="871" s="1" customFormat="1" ht="18" customHeight="1" spans="1:7">
      <c r="A871" s="5">
        <v>869</v>
      </c>
      <c r="B871" s="5" t="str">
        <f>"王子乐"</f>
        <v>王子乐</v>
      </c>
      <c r="C871" s="5" t="str">
        <f>"7073202410141003454405"</f>
        <v>7073202410141003454405</v>
      </c>
      <c r="D871" s="5" t="str">
        <f t="shared" si="20"/>
        <v>E2024094</v>
      </c>
      <c r="E871" s="5" t="s">
        <v>31</v>
      </c>
      <c r="F871" s="5" t="s">
        <v>32</v>
      </c>
      <c r="G871" s="5"/>
    </row>
    <row r="872" s="1" customFormat="1" ht="18" customHeight="1" spans="1:7">
      <c r="A872" s="5">
        <v>870</v>
      </c>
      <c r="B872" s="5" t="str">
        <f>"彭姗姗"</f>
        <v>彭姗姗</v>
      </c>
      <c r="C872" s="5" t="str">
        <f>"7073202410141005544415"</f>
        <v>7073202410141005544415</v>
      </c>
      <c r="D872" s="5" t="str">
        <f t="shared" si="20"/>
        <v>E2024094</v>
      </c>
      <c r="E872" s="5" t="s">
        <v>31</v>
      </c>
      <c r="F872" s="5" t="s">
        <v>32</v>
      </c>
      <c r="G872" s="5"/>
    </row>
    <row r="873" s="1" customFormat="1" ht="18" customHeight="1" spans="1:7">
      <c r="A873" s="5">
        <v>871</v>
      </c>
      <c r="B873" s="5" t="str">
        <f>"向燕锐"</f>
        <v>向燕锐</v>
      </c>
      <c r="C873" s="5" t="str">
        <f>"7073202410141023184497"</f>
        <v>7073202410141023184497</v>
      </c>
      <c r="D873" s="5" t="str">
        <f t="shared" si="20"/>
        <v>E2024094</v>
      </c>
      <c r="E873" s="5" t="s">
        <v>31</v>
      </c>
      <c r="F873" s="5" t="s">
        <v>32</v>
      </c>
      <c r="G873" s="5"/>
    </row>
    <row r="874" s="1" customFormat="1" ht="18" customHeight="1" spans="1:7">
      <c r="A874" s="5">
        <v>872</v>
      </c>
      <c r="B874" s="5" t="str">
        <f>"吴林燁"</f>
        <v>吴林燁</v>
      </c>
      <c r="C874" s="5" t="str">
        <f>"7073202410141031534553"</f>
        <v>7073202410141031534553</v>
      </c>
      <c r="D874" s="5" t="str">
        <f t="shared" si="20"/>
        <v>E2024094</v>
      </c>
      <c r="E874" s="5" t="s">
        <v>31</v>
      </c>
      <c r="F874" s="5" t="s">
        <v>32</v>
      </c>
      <c r="G874" s="5"/>
    </row>
    <row r="875" s="1" customFormat="1" ht="18" customHeight="1" spans="1:7">
      <c r="A875" s="5">
        <v>873</v>
      </c>
      <c r="B875" s="5" t="str">
        <f>"郑蕊"</f>
        <v>郑蕊</v>
      </c>
      <c r="C875" s="5" t="str">
        <f>"7073202410141109514755"</f>
        <v>7073202410141109514755</v>
      </c>
      <c r="D875" s="5" t="str">
        <f t="shared" si="20"/>
        <v>E2024094</v>
      </c>
      <c r="E875" s="5" t="s">
        <v>31</v>
      </c>
      <c r="F875" s="5" t="s">
        <v>32</v>
      </c>
      <c r="G875" s="5"/>
    </row>
    <row r="876" s="1" customFormat="1" ht="18" customHeight="1" spans="1:7">
      <c r="A876" s="5">
        <v>874</v>
      </c>
      <c r="B876" s="5" t="str">
        <f>"董雁"</f>
        <v>董雁</v>
      </c>
      <c r="C876" s="5" t="str">
        <f>"7073202410141059014703"</f>
        <v>7073202410141059014703</v>
      </c>
      <c r="D876" s="5" t="str">
        <f t="shared" si="20"/>
        <v>E2024094</v>
      </c>
      <c r="E876" s="5" t="s">
        <v>31</v>
      </c>
      <c r="F876" s="5" t="s">
        <v>32</v>
      </c>
      <c r="G876" s="5"/>
    </row>
    <row r="877" s="1" customFormat="1" ht="18" customHeight="1" spans="1:7">
      <c r="A877" s="5">
        <v>875</v>
      </c>
      <c r="B877" s="5" t="str">
        <f>"胡镇"</f>
        <v>胡镇</v>
      </c>
      <c r="C877" s="5" t="str">
        <f>"7073202410141137054842"</f>
        <v>7073202410141137054842</v>
      </c>
      <c r="D877" s="5" t="str">
        <f t="shared" si="20"/>
        <v>E2024094</v>
      </c>
      <c r="E877" s="5" t="s">
        <v>31</v>
      </c>
      <c r="F877" s="5" t="s">
        <v>32</v>
      </c>
      <c r="G877" s="5"/>
    </row>
    <row r="878" s="1" customFormat="1" ht="18" customHeight="1" spans="1:7">
      <c r="A878" s="5">
        <v>876</v>
      </c>
      <c r="B878" s="5" t="str">
        <f>"覃珊"</f>
        <v>覃珊</v>
      </c>
      <c r="C878" s="5" t="str">
        <f>"7073202410141509435359"</f>
        <v>7073202410141509435359</v>
      </c>
      <c r="D878" s="5" t="str">
        <f t="shared" si="20"/>
        <v>E2024094</v>
      </c>
      <c r="E878" s="5" t="s">
        <v>31</v>
      </c>
      <c r="F878" s="5" t="s">
        <v>32</v>
      </c>
      <c r="G878" s="5"/>
    </row>
    <row r="879" s="1" customFormat="1" ht="18" customHeight="1" spans="1:7">
      <c r="A879" s="5">
        <v>877</v>
      </c>
      <c r="B879" s="5" t="str">
        <f>"周述立"</f>
        <v>周述立</v>
      </c>
      <c r="C879" s="5" t="str">
        <f>"7073202410131633493582"</f>
        <v>7073202410131633493582</v>
      </c>
      <c r="D879" s="5" t="str">
        <f t="shared" si="20"/>
        <v>E2024094</v>
      </c>
      <c r="E879" s="5" t="s">
        <v>31</v>
      </c>
      <c r="F879" s="5" t="s">
        <v>32</v>
      </c>
      <c r="G879" s="5"/>
    </row>
    <row r="880" s="1" customFormat="1" ht="18" customHeight="1" spans="1:7">
      <c r="A880" s="5">
        <v>878</v>
      </c>
      <c r="B880" s="5" t="str">
        <f>"邓芳"</f>
        <v>邓芳</v>
      </c>
      <c r="C880" s="5" t="str">
        <f>"7073202410141652185673"</f>
        <v>7073202410141652185673</v>
      </c>
      <c r="D880" s="5" t="str">
        <f t="shared" si="20"/>
        <v>E2024094</v>
      </c>
      <c r="E880" s="5" t="s">
        <v>31</v>
      </c>
      <c r="F880" s="5" t="s">
        <v>32</v>
      </c>
      <c r="G880" s="5"/>
    </row>
    <row r="881" s="1" customFormat="1" ht="18" customHeight="1" spans="1:7">
      <c r="A881" s="5">
        <v>879</v>
      </c>
      <c r="B881" s="5" t="str">
        <f>"朱庆"</f>
        <v>朱庆</v>
      </c>
      <c r="C881" s="5" t="str">
        <f>"7073202410141409115192"</f>
        <v>7073202410141409115192</v>
      </c>
      <c r="D881" s="5" t="str">
        <f t="shared" si="20"/>
        <v>E2024094</v>
      </c>
      <c r="E881" s="5" t="s">
        <v>31</v>
      </c>
      <c r="F881" s="5" t="s">
        <v>32</v>
      </c>
      <c r="G881" s="5"/>
    </row>
    <row r="882" s="1" customFormat="1" ht="18" customHeight="1" spans="1:7">
      <c r="A882" s="5">
        <v>880</v>
      </c>
      <c r="B882" s="5" t="str">
        <f>"向圳伟"</f>
        <v>向圳伟</v>
      </c>
      <c r="C882" s="5" t="str">
        <f>"7073202410142000286023"</f>
        <v>7073202410142000286023</v>
      </c>
      <c r="D882" s="5" t="str">
        <f t="shared" si="20"/>
        <v>E2024094</v>
      </c>
      <c r="E882" s="5" t="s">
        <v>31</v>
      </c>
      <c r="F882" s="5" t="s">
        <v>32</v>
      </c>
      <c r="G882" s="5"/>
    </row>
    <row r="883" s="1" customFormat="1" ht="18" customHeight="1" spans="1:7">
      <c r="A883" s="5">
        <v>881</v>
      </c>
      <c r="B883" s="5" t="str">
        <f>"张俊才"</f>
        <v>张俊才</v>
      </c>
      <c r="C883" s="5" t="str">
        <f>"7073202410142109556158"</f>
        <v>7073202410142109556158</v>
      </c>
      <c r="D883" s="5" t="str">
        <f t="shared" si="20"/>
        <v>E2024094</v>
      </c>
      <c r="E883" s="5" t="s">
        <v>31</v>
      </c>
      <c r="F883" s="5" t="s">
        <v>32</v>
      </c>
      <c r="G883" s="5"/>
    </row>
    <row r="884" s="1" customFormat="1" ht="18" customHeight="1" spans="1:7">
      <c r="A884" s="5">
        <v>882</v>
      </c>
      <c r="B884" s="5" t="str">
        <f>"刘山"</f>
        <v>刘山</v>
      </c>
      <c r="C884" s="5" t="str">
        <f>"7073202410142225096288"</f>
        <v>7073202410142225096288</v>
      </c>
      <c r="D884" s="5" t="str">
        <f t="shared" si="20"/>
        <v>E2024094</v>
      </c>
      <c r="E884" s="5" t="s">
        <v>31</v>
      </c>
      <c r="F884" s="5" t="s">
        <v>32</v>
      </c>
      <c r="G884" s="5"/>
    </row>
    <row r="885" s="1" customFormat="1" ht="18" customHeight="1" spans="1:7">
      <c r="A885" s="5">
        <v>883</v>
      </c>
      <c r="B885" s="5" t="str">
        <f>"梅海燕"</f>
        <v>梅海燕</v>
      </c>
      <c r="C885" s="5" t="str">
        <f>"7073202410151055217373"</f>
        <v>7073202410151055217373</v>
      </c>
      <c r="D885" s="5" t="str">
        <f t="shared" si="20"/>
        <v>E2024094</v>
      </c>
      <c r="E885" s="5" t="s">
        <v>31</v>
      </c>
      <c r="F885" s="5" t="s">
        <v>32</v>
      </c>
      <c r="G885" s="5"/>
    </row>
    <row r="886" s="1" customFormat="1" ht="18" customHeight="1" spans="1:7">
      <c r="A886" s="5">
        <v>884</v>
      </c>
      <c r="B886" s="5" t="str">
        <f>"刘冬"</f>
        <v>刘冬</v>
      </c>
      <c r="C886" s="5" t="str">
        <f>"7073202410151123177544"</f>
        <v>7073202410151123177544</v>
      </c>
      <c r="D886" s="5" t="str">
        <f t="shared" si="20"/>
        <v>E2024094</v>
      </c>
      <c r="E886" s="5" t="s">
        <v>31</v>
      </c>
      <c r="F886" s="5" t="s">
        <v>32</v>
      </c>
      <c r="G886" s="5"/>
    </row>
    <row r="887" s="1" customFormat="1" ht="18" customHeight="1" spans="1:7">
      <c r="A887" s="5">
        <v>885</v>
      </c>
      <c r="B887" s="5" t="str">
        <f>"黄莉会"</f>
        <v>黄莉会</v>
      </c>
      <c r="C887" s="5" t="str">
        <f>"7073202410121150272093"</f>
        <v>7073202410121150272093</v>
      </c>
      <c r="D887" s="5" t="str">
        <f t="shared" si="20"/>
        <v>E2024094</v>
      </c>
      <c r="E887" s="5" t="s">
        <v>31</v>
      </c>
      <c r="F887" s="5" t="s">
        <v>32</v>
      </c>
      <c r="G887" s="5"/>
    </row>
    <row r="888" s="1" customFormat="1" ht="18" customHeight="1" spans="1:7">
      <c r="A888" s="5">
        <v>886</v>
      </c>
      <c r="B888" s="5" t="str">
        <f>"秦花"</f>
        <v>秦花</v>
      </c>
      <c r="C888" s="5" t="str">
        <f>"7073202410151510348409"</f>
        <v>7073202410151510348409</v>
      </c>
      <c r="D888" s="5" t="str">
        <f t="shared" si="20"/>
        <v>E2024094</v>
      </c>
      <c r="E888" s="5" t="s">
        <v>31</v>
      </c>
      <c r="F888" s="5" t="s">
        <v>32</v>
      </c>
      <c r="G888" s="5"/>
    </row>
    <row r="889" s="1" customFormat="1" ht="18" customHeight="1" spans="1:7">
      <c r="A889" s="5">
        <v>887</v>
      </c>
      <c r="B889" s="5" t="str">
        <f>"徐心雨"</f>
        <v>徐心雨</v>
      </c>
      <c r="C889" s="5" t="str">
        <f>"7073202410151606398683"</f>
        <v>7073202410151606398683</v>
      </c>
      <c r="D889" s="5" t="str">
        <f t="shared" si="20"/>
        <v>E2024094</v>
      </c>
      <c r="E889" s="5" t="s">
        <v>31</v>
      </c>
      <c r="F889" s="5" t="s">
        <v>32</v>
      </c>
      <c r="G889" s="5"/>
    </row>
    <row r="890" s="1" customFormat="1" ht="18" customHeight="1" spans="1:7">
      <c r="A890" s="5">
        <v>888</v>
      </c>
      <c r="B890" s="5" t="str">
        <f>"王汝琼"</f>
        <v>王汝琼</v>
      </c>
      <c r="C890" s="5" t="str">
        <f>"7073202410151642218830"</f>
        <v>7073202410151642218830</v>
      </c>
      <c r="D890" s="5" t="str">
        <f t="shared" si="20"/>
        <v>E2024094</v>
      </c>
      <c r="E890" s="5" t="s">
        <v>31</v>
      </c>
      <c r="F890" s="5" t="s">
        <v>32</v>
      </c>
      <c r="G890" s="5"/>
    </row>
    <row r="891" s="1" customFormat="1" ht="18" customHeight="1" spans="1:7">
      <c r="A891" s="5">
        <v>889</v>
      </c>
      <c r="B891" s="5" t="str">
        <f>"吴媛媛"</f>
        <v>吴媛媛</v>
      </c>
      <c r="C891" s="5" t="str">
        <f>"70732024101522211010228"</f>
        <v>70732024101522211010228</v>
      </c>
      <c r="D891" s="5" t="str">
        <f t="shared" si="20"/>
        <v>E2024094</v>
      </c>
      <c r="E891" s="5" t="s">
        <v>31</v>
      </c>
      <c r="F891" s="5" t="s">
        <v>32</v>
      </c>
      <c r="G891" s="5"/>
    </row>
    <row r="892" s="1" customFormat="1" ht="18" customHeight="1" spans="1:7">
      <c r="A892" s="5">
        <v>890</v>
      </c>
      <c r="B892" s="5" t="str">
        <f>"向玉斌"</f>
        <v>向玉斌</v>
      </c>
      <c r="C892" s="5" t="str">
        <f>"70732024101522362210301"</f>
        <v>70732024101522362210301</v>
      </c>
      <c r="D892" s="5" t="str">
        <f t="shared" si="20"/>
        <v>E2024094</v>
      </c>
      <c r="E892" s="5" t="s">
        <v>31</v>
      </c>
      <c r="F892" s="5" t="s">
        <v>32</v>
      </c>
      <c r="G892" s="5"/>
    </row>
    <row r="893" s="1" customFormat="1" ht="18" customHeight="1" spans="1:7">
      <c r="A893" s="5">
        <v>891</v>
      </c>
      <c r="B893" s="5" t="str">
        <f>"谢先彬"</f>
        <v>谢先彬</v>
      </c>
      <c r="C893" s="5" t="str">
        <f>"70732024101609460511088"</f>
        <v>70732024101609460511088</v>
      </c>
      <c r="D893" s="5" t="str">
        <f t="shared" si="20"/>
        <v>E2024094</v>
      </c>
      <c r="E893" s="5" t="s">
        <v>31</v>
      </c>
      <c r="F893" s="5" t="s">
        <v>32</v>
      </c>
      <c r="G893" s="5"/>
    </row>
    <row r="894" s="1" customFormat="1" ht="18" customHeight="1" spans="1:7">
      <c r="A894" s="5">
        <v>892</v>
      </c>
      <c r="B894" s="5" t="str">
        <f>"王紫薇"</f>
        <v>王紫薇</v>
      </c>
      <c r="C894" s="5" t="str">
        <f>"70732024101610255211347"</f>
        <v>70732024101610255211347</v>
      </c>
      <c r="D894" s="5" t="str">
        <f t="shared" si="20"/>
        <v>E2024094</v>
      </c>
      <c r="E894" s="5" t="s">
        <v>31</v>
      </c>
      <c r="F894" s="5" t="s">
        <v>32</v>
      </c>
      <c r="G894" s="5"/>
    </row>
    <row r="895" s="1" customFormat="1" ht="18" customHeight="1" spans="1:7">
      <c r="A895" s="5">
        <v>893</v>
      </c>
      <c r="B895" s="5" t="str">
        <f>"何博"</f>
        <v>何博</v>
      </c>
      <c r="C895" s="5" t="str">
        <f>"70732024101615144612679"</f>
        <v>70732024101615144612679</v>
      </c>
      <c r="D895" s="5" t="str">
        <f t="shared" si="20"/>
        <v>E2024094</v>
      </c>
      <c r="E895" s="5" t="s">
        <v>31</v>
      </c>
      <c r="F895" s="5" t="s">
        <v>32</v>
      </c>
      <c r="G895" s="5"/>
    </row>
    <row r="896" s="1" customFormat="1" ht="18" customHeight="1" spans="1:7">
      <c r="A896" s="5">
        <v>894</v>
      </c>
      <c r="B896" s="5" t="str">
        <f>"王珊"</f>
        <v>王珊</v>
      </c>
      <c r="C896" s="5" t="str">
        <f>"70732024101619355414259"</f>
        <v>70732024101619355414259</v>
      </c>
      <c r="D896" s="5" t="str">
        <f t="shared" si="20"/>
        <v>E2024094</v>
      </c>
      <c r="E896" s="5" t="s">
        <v>31</v>
      </c>
      <c r="F896" s="5" t="s">
        <v>32</v>
      </c>
      <c r="G896" s="5"/>
    </row>
    <row r="897" s="1" customFormat="1" ht="18" customHeight="1" spans="1:7">
      <c r="A897" s="5">
        <v>895</v>
      </c>
      <c r="B897" s="5" t="str">
        <f>"郑永昊"</f>
        <v>郑永昊</v>
      </c>
      <c r="C897" s="5" t="str">
        <f>"70732024101620324514532"</f>
        <v>70732024101620324514532</v>
      </c>
      <c r="D897" s="5" t="str">
        <f t="shared" si="20"/>
        <v>E2024094</v>
      </c>
      <c r="E897" s="5" t="s">
        <v>31</v>
      </c>
      <c r="F897" s="5" t="s">
        <v>32</v>
      </c>
      <c r="G897" s="5"/>
    </row>
    <row r="898" s="1" customFormat="1" ht="18" customHeight="1" spans="1:7">
      <c r="A898" s="5">
        <v>896</v>
      </c>
      <c r="B898" s="5" t="str">
        <f>"周虹娅"</f>
        <v>周虹娅</v>
      </c>
      <c r="C898" s="5" t="str">
        <f>"70732024101620424214585"</f>
        <v>70732024101620424214585</v>
      </c>
      <c r="D898" s="5" t="str">
        <f t="shared" si="20"/>
        <v>E2024094</v>
      </c>
      <c r="E898" s="5" t="s">
        <v>31</v>
      </c>
      <c r="F898" s="5" t="s">
        <v>32</v>
      </c>
      <c r="G898" s="5"/>
    </row>
    <row r="899" s="1" customFormat="1" ht="18" customHeight="1" spans="1:7">
      <c r="A899" s="5">
        <v>897</v>
      </c>
      <c r="B899" s="5" t="str">
        <f>"熊忠桂"</f>
        <v>熊忠桂</v>
      </c>
      <c r="C899" s="5" t="str">
        <f>"70732024101709193615794"</f>
        <v>70732024101709193615794</v>
      </c>
      <c r="D899" s="5" t="str">
        <f t="shared" si="20"/>
        <v>E2024094</v>
      </c>
      <c r="E899" s="5" t="s">
        <v>31</v>
      </c>
      <c r="F899" s="5" t="s">
        <v>32</v>
      </c>
      <c r="G899" s="5"/>
    </row>
    <row r="900" s="1" customFormat="1" ht="18" customHeight="1" spans="1:7">
      <c r="A900" s="5">
        <v>898</v>
      </c>
      <c r="B900" s="5" t="str">
        <f>"廖远晖"</f>
        <v>廖远晖</v>
      </c>
      <c r="C900" s="5" t="str">
        <f>"70732024101710121516212"</f>
        <v>70732024101710121516212</v>
      </c>
      <c r="D900" s="5" t="str">
        <f t="shared" si="20"/>
        <v>E2024094</v>
      </c>
      <c r="E900" s="5" t="s">
        <v>31</v>
      </c>
      <c r="F900" s="5" t="s">
        <v>32</v>
      </c>
      <c r="G900" s="5"/>
    </row>
    <row r="901" s="1" customFormat="1" ht="18" customHeight="1" spans="1:7">
      <c r="A901" s="5">
        <v>899</v>
      </c>
      <c r="B901" s="5" t="str">
        <f>"甄虹美"</f>
        <v>甄虹美</v>
      </c>
      <c r="C901" s="5" t="str">
        <f>"7073202410121018071798"</f>
        <v>7073202410121018071798</v>
      </c>
      <c r="D901" s="5" t="str">
        <f t="shared" ref="D901:D964" si="21">"E2024094"</f>
        <v>E2024094</v>
      </c>
      <c r="E901" s="5" t="s">
        <v>31</v>
      </c>
      <c r="F901" s="5" t="s">
        <v>32</v>
      </c>
      <c r="G901" s="5"/>
    </row>
    <row r="902" s="1" customFormat="1" ht="18" customHeight="1" spans="1:7">
      <c r="A902" s="5">
        <v>900</v>
      </c>
      <c r="B902" s="5" t="str">
        <f>"曾凤"</f>
        <v>曾凤</v>
      </c>
      <c r="C902" s="5" t="str">
        <f>"7073202410141901245906"</f>
        <v>7073202410141901245906</v>
      </c>
      <c r="D902" s="5" t="str">
        <f t="shared" si="21"/>
        <v>E2024094</v>
      </c>
      <c r="E902" s="5" t="s">
        <v>31</v>
      </c>
      <c r="F902" s="5" t="s">
        <v>32</v>
      </c>
      <c r="G902" s="5"/>
    </row>
    <row r="903" s="1" customFormat="1" ht="18" customHeight="1" spans="1:7">
      <c r="A903" s="5">
        <v>901</v>
      </c>
      <c r="B903" s="5" t="str">
        <f>"唐薛莹"</f>
        <v>唐薛莹</v>
      </c>
      <c r="C903" s="5" t="str">
        <f>"70732024101710104116199"</f>
        <v>70732024101710104116199</v>
      </c>
      <c r="D903" s="5" t="str">
        <f t="shared" si="21"/>
        <v>E2024094</v>
      </c>
      <c r="E903" s="5" t="s">
        <v>31</v>
      </c>
      <c r="F903" s="5" t="s">
        <v>32</v>
      </c>
      <c r="G903" s="5"/>
    </row>
    <row r="904" s="1" customFormat="1" ht="18" customHeight="1" spans="1:7">
      <c r="A904" s="5">
        <v>902</v>
      </c>
      <c r="B904" s="5" t="str">
        <f>"吴俱"</f>
        <v>吴俱</v>
      </c>
      <c r="C904" s="5" t="str">
        <f>"70732024101808573422017"</f>
        <v>70732024101808573422017</v>
      </c>
      <c r="D904" s="5" t="str">
        <f t="shared" si="21"/>
        <v>E2024094</v>
      </c>
      <c r="E904" s="5" t="s">
        <v>31</v>
      </c>
      <c r="F904" s="5" t="s">
        <v>32</v>
      </c>
      <c r="G904" s="5"/>
    </row>
    <row r="905" s="1" customFormat="1" ht="18" customHeight="1" spans="1:7">
      <c r="A905" s="5">
        <v>903</v>
      </c>
      <c r="B905" s="5" t="str">
        <f>"吕青娉"</f>
        <v>吕青娉</v>
      </c>
      <c r="C905" s="5" t="str">
        <f>"70732024101810345022870"</f>
        <v>70732024101810345022870</v>
      </c>
      <c r="D905" s="5" t="str">
        <f t="shared" si="21"/>
        <v>E2024094</v>
      </c>
      <c r="E905" s="5" t="s">
        <v>31</v>
      </c>
      <c r="F905" s="5" t="s">
        <v>32</v>
      </c>
      <c r="G905" s="5"/>
    </row>
    <row r="906" s="1" customFormat="1" ht="18" customHeight="1" spans="1:7">
      <c r="A906" s="5">
        <v>904</v>
      </c>
      <c r="B906" s="5" t="str">
        <f>"向为媛"</f>
        <v>向为媛</v>
      </c>
      <c r="C906" s="5" t="str">
        <f>"70732024101811452623387"</f>
        <v>70732024101811452623387</v>
      </c>
      <c r="D906" s="5" t="str">
        <f t="shared" si="21"/>
        <v>E2024094</v>
      </c>
      <c r="E906" s="5" t="s">
        <v>31</v>
      </c>
      <c r="F906" s="5" t="s">
        <v>32</v>
      </c>
      <c r="G906" s="5"/>
    </row>
    <row r="907" s="1" customFormat="1" ht="18" customHeight="1" spans="1:7">
      <c r="A907" s="5">
        <v>905</v>
      </c>
      <c r="B907" s="5" t="str">
        <f>"鄢朝辉"</f>
        <v>鄢朝辉</v>
      </c>
      <c r="C907" s="5" t="str">
        <f>"70732024101811111923166"</f>
        <v>70732024101811111923166</v>
      </c>
      <c r="D907" s="5" t="str">
        <f t="shared" si="21"/>
        <v>E2024094</v>
      </c>
      <c r="E907" s="5" t="s">
        <v>31</v>
      </c>
      <c r="F907" s="5" t="s">
        <v>32</v>
      </c>
      <c r="G907" s="5"/>
    </row>
    <row r="908" s="1" customFormat="1" ht="18" customHeight="1" spans="1:7">
      <c r="A908" s="5">
        <v>906</v>
      </c>
      <c r="B908" s="5" t="str">
        <f>"姜丹"</f>
        <v>姜丹</v>
      </c>
      <c r="C908" s="5" t="str">
        <f>"70732024101813283824250"</f>
        <v>70732024101813283824250</v>
      </c>
      <c r="D908" s="5" t="str">
        <f t="shared" si="21"/>
        <v>E2024094</v>
      </c>
      <c r="E908" s="5" t="s">
        <v>31</v>
      </c>
      <c r="F908" s="5" t="s">
        <v>32</v>
      </c>
      <c r="G908" s="5"/>
    </row>
    <row r="909" s="1" customFormat="1" ht="18" customHeight="1" spans="1:7">
      <c r="A909" s="5">
        <v>907</v>
      </c>
      <c r="B909" s="5" t="str">
        <f>"卢成波"</f>
        <v>卢成波</v>
      </c>
      <c r="C909" s="5" t="str">
        <f>"70732024101823004727577"</f>
        <v>70732024101823004727577</v>
      </c>
      <c r="D909" s="5" t="str">
        <f t="shared" si="21"/>
        <v>E2024094</v>
      </c>
      <c r="E909" s="5" t="s">
        <v>31</v>
      </c>
      <c r="F909" s="5" t="s">
        <v>32</v>
      </c>
      <c r="G909" s="5"/>
    </row>
    <row r="910" s="1" customFormat="1" ht="18" customHeight="1" spans="1:7">
      <c r="A910" s="5">
        <v>908</v>
      </c>
      <c r="B910" s="5" t="str">
        <f>"管孟瑶"</f>
        <v>管孟瑶</v>
      </c>
      <c r="C910" s="5" t="str">
        <f>"70732024101913071828650"</f>
        <v>70732024101913071828650</v>
      </c>
      <c r="D910" s="5" t="str">
        <f t="shared" si="21"/>
        <v>E2024094</v>
      </c>
      <c r="E910" s="5" t="s">
        <v>31</v>
      </c>
      <c r="F910" s="5" t="s">
        <v>32</v>
      </c>
      <c r="G910" s="5"/>
    </row>
    <row r="911" s="1" customFormat="1" ht="18" customHeight="1" spans="1:7">
      <c r="A911" s="5">
        <v>909</v>
      </c>
      <c r="B911" s="5" t="str">
        <f>"张静"</f>
        <v>张静</v>
      </c>
      <c r="C911" s="5" t="str">
        <f>"70732024101914520428936"</f>
        <v>70732024101914520428936</v>
      </c>
      <c r="D911" s="5" t="str">
        <f t="shared" si="21"/>
        <v>E2024094</v>
      </c>
      <c r="E911" s="5" t="s">
        <v>31</v>
      </c>
      <c r="F911" s="5" t="s">
        <v>32</v>
      </c>
      <c r="G911" s="5"/>
    </row>
    <row r="912" s="1" customFormat="1" ht="18" customHeight="1" spans="1:7">
      <c r="A912" s="5">
        <v>910</v>
      </c>
      <c r="B912" s="5" t="str">
        <f>"刘琴"</f>
        <v>刘琴</v>
      </c>
      <c r="C912" s="5" t="str">
        <f>"70732024102010185830887"</f>
        <v>70732024102010185830887</v>
      </c>
      <c r="D912" s="5" t="str">
        <f t="shared" si="21"/>
        <v>E2024094</v>
      </c>
      <c r="E912" s="5" t="s">
        <v>31</v>
      </c>
      <c r="F912" s="5" t="s">
        <v>32</v>
      </c>
      <c r="G912" s="5"/>
    </row>
    <row r="913" s="1" customFormat="1" ht="18" customHeight="1" spans="1:7">
      <c r="A913" s="5">
        <v>911</v>
      </c>
      <c r="B913" s="5" t="str">
        <f>"杨梦玲"</f>
        <v>杨梦玲</v>
      </c>
      <c r="C913" s="5" t="str">
        <f>"70732024102010452530948"</f>
        <v>70732024102010452530948</v>
      </c>
      <c r="D913" s="5" t="str">
        <f t="shared" si="21"/>
        <v>E2024094</v>
      </c>
      <c r="E913" s="5" t="s">
        <v>31</v>
      </c>
      <c r="F913" s="5" t="s">
        <v>32</v>
      </c>
      <c r="G913" s="5"/>
    </row>
    <row r="914" s="1" customFormat="1" ht="18" customHeight="1" spans="1:7">
      <c r="A914" s="5">
        <v>912</v>
      </c>
      <c r="B914" s="5" t="str">
        <f>"张旦"</f>
        <v>张旦</v>
      </c>
      <c r="C914" s="5" t="str">
        <f>"70732024102014404931645"</f>
        <v>70732024102014404931645</v>
      </c>
      <c r="D914" s="5" t="str">
        <f t="shared" si="21"/>
        <v>E2024094</v>
      </c>
      <c r="E914" s="5" t="s">
        <v>31</v>
      </c>
      <c r="F914" s="5" t="s">
        <v>32</v>
      </c>
      <c r="G914" s="5"/>
    </row>
    <row r="915" s="1" customFormat="1" ht="18" customHeight="1" spans="1:7">
      <c r="A915" s="5">
        <v>913</v>
      </c>
      <c r="B915" s="5" t="str">
        <f>"田爽"</f>
        <v>田爽</v>
      </c>
      <c r="C915" s="5" t="str">
        <f>"70732024101908373227849"</f>
        <v>70732024101908373227849</v>
      </c>
      <c r="D915" s="5" t="str">
        <f t="shared" si="21"/>
        <v>E2024094</v>
      </c>
      <c r="E915" s="5" t="s">
        <v>31</v>
      </c>
      <c r="F915" s="5" t="s">
        <v>32</v>
      </c>
      <c r="G915" s="5"/>
    </row>
    <row r="916" s="1" customFormat="1" ht="18" customHeight="1" spans="1:7">
      <c r="A916" s="5">
        <v>914</v>
      </c>
      <c r="B916" s="5" t="str">
        <f>"余潇"</f>
        <v>余潇</v>
      </c>
      <c r="C916" s="5" t="str">
        <f>"70732024102016002931862"</f>
        <v>70732024102016002931862</v>
      </c>
      <c r="D916" s="5" t="str">
        <f t="shared" si="21"/>
        <v>E2024094</v>
      </c>
      <c r="E916" s="5" t="s">
        <v>31</v>
      </c>
      <c r="F916" s="5" t="s">
        <v>32</v>
      </c>
      <c r="G916" s="5"/>
    </row>
    <row r="917" s="1" customFormat="1" ht="18" customHeight="1" spans="1:7">
      <c r="A917" s="5">
        <v>915</v>
      </c>
      <c r="B917" s="5" t="str">
        <f>"曾蓉"</f>
        <v>曾蓉</v>
      </c>
      <c r="C917" s="5" t="str">
        <f>"70732024102017143732120"</f>
        <v>70732024102017143732120</v>
      </c>
      <c r="D917" s="5" t="str">
        <f t="shared" si="21"/>
        <v>E2024094</v>
      </c>
      <c r="E917" s="5" t="s">
        <v>31</v>
      </c>
      <c r="F917" s="5" t="s">
        <v>32</v>
      </c>
      <c r="G917" s="5"/>
    </row>
    <row r="918" s="1" customFormat="1" ht="18" customHeight="1" spans="1:7">
      <c r="A918" s="5">
        <v>916</v>
      </c>
      <c r="B918" s="5" t="str">
        <f>"张林英"</f>
        <v>张林英</v>
      </c>
      <c r="C918" s="5" t="str">
        <f>"70732024101611471711835"</f>
        <v>70732024101611471711835</v>
      </c>
      <c r="D918" s="5" t="str">
        <f t="shared" si="21"/>
        <v>E2024094</v>
      </c>
      <c r="E918" s="5" t="s">
        <v>31</v>
      </c>
      <c r="F918" s="5" t="s">
        <v>32</v>
      </c>
      <c r="G918" s="5"/>
    </row>
    <row r="919" s="1" customFormat="1" ht="18" customHeight="1" spans="1:7">
      <c r="A919" s="5">
        <v>917</v>
      </c>
      <c r="B919" s="5" t="str">
        <f>"陶文"</f>
        <v>陶文</v>
      </c>
      <c r="C919" s="5" t="str">
        <f>"70732024102023454733489"</f>
        <v>70732024102023454733489</v>
      </c>
      <c r="D919" s="5" t="str">
        <f t="shared" si="21"/>
        <v>E2024094</v>
      </c>
      <c r="E919" s="5" t="s">
        <v>31</v>
      </c>
      <c r="F919" s="5" t="s">
        <v>32</v>
      </c>
      <c r="G919" s="5"/>
    </row>
    <row r="920" s="1" customFormat="1" ht="18" customHeight="1" spans="1:7">
      <c r="A920" s="5">
        <v>918</v>
      </c>
      <c r="B920" s="5" t="str">
        <f>"王艺臻"</f>
        <v>王艺臻</v>
      </c>
      <c r="C920" s="5" t="str">
        <f>"70732024102100041333518"</f>
        <v>70732024102100041333518</v>
      </c>
      <c r="D920" s="5" t="str">
        <f t="shared" si="21"/>
        <v>E2024094</v>
      </c>
      <c r="E920" s="5" t="s">
        <v>31</v>
      </c>
      <c r="F920" s="5" t="s">
        <v>32</v>
      </c>
      <c r="G920" s="5"/>
    </row>
    <row r="921" s="1" customFormat="1" ht="18" customHeight="1" spans="1:7">
      <c r="A921" s="5">
        <v>919</v>
      </c>
      <c r="B921" s="5" t="str">
        <f>"周玲"</f>
        <v>周玲</v>
      </c>
      <c r="C921" s="5" t="str">
        <f>"70732024102110223635504"</f>
        <v>70732024102110223635504</v>
      </c>
      <c r="D921" s="5" t="str">
        <f t="shared" si="21"/>
        <v>E2024094</v>
      </c>
      <c r="E921" s="5" t="s">
        <v>31</v>
      </c>
      <c r="F921" s="5" t="s">
        <v>32</v>
      </c>
      <c r="G921" s="5"/>
    </row>
    <row r="922" s="1" customFormat="1" ht="18" customHeight="1" spans="1:7">
      <c r="A922" s="5">
        <v>920</v>
      </c>
      <c r="B922" s="5" t="str">
        <f>"邓海尧"</f>
        <v>邓海尧</v>
      </c>
      <c r="C922" s="5" t="str">
        <f>"70732024102110480935950"</f>
        <v>70732024102110480935950</v>
      </c>
      <c r="D922" s="5" t="str">
        <f t="shared" si="21"/>
        <v>E2024094</v>
      </c>
      <c r="E922" s="5" t="s">
        <v>31</v>
      </c>
      <c r="F922" s="5" t="s">
        <v>32</v>
      </c>
      <c r="G922" s="5"/>
    </row>
    <row r="923" s="1" customFormat="1" ht="18" customHeight="1" spans="1:7">
      <c r="A923" s="5">
        <v>921</v>
      </c>
      <c r="B923" s="5" t="str">
        <f>"罗丰"</f>
        <v>罗丰</v>
      </c>
      <c r="C923" s="5" t="str">
        <f>"70732024102110490035973"</f>
        <v>70732024102110490035973</v>
      </c>
      <c r="D923" s="5" t="str">
        <f t="shared" si="21"/>
        <v>E2024094</v>
      </c>
      <c r="E923" s="5" t="s">
        <v>31</v>
      </c>
      <c r="F923" s="5" t="s">
        <v>32</v>
      </c>
      <c r="G923" s="5"/>
    </row>
    <row r="924" s="1" customFormat="1" ht="18" customHeight="1" spans="1:7">
      <c r="A924" s="5">
        <v>922</v>
      </c>
      <c r="B924" s="5" t="str">
        <f>"熊成艳"</f>
        <v>熊成艳</v>
      </c>
      <c r="C924" s="5" t="str">
        <f>"70732024102111323936620"</f>
        <v>70732024102111323936620</v>
      </c>
      <c r="D924" s="5" t="str">
        <f t="shared" si="21"/>
        <v>E2024094</v>
      </c>
      <c r="E924" s="5" t="s">
        <v>31</v>
      </c>
      <c r="F924" s="5" t="s">
        <v>32</v>
      </c>
      <c r="G924" s="5"/>
    </row>
    <row r="925" s="1" customFormat="1" ht="18" customHeight="1" spans="1:7">
      <c r="A925" s="5">
        <v>923</v>
      </c>
      <c r="B925" s="5" t="str">
        <f>"覃木"</f>
        <v>覃木</v>
      </c>
      <c r="C925" s="5" t="str">
        <f>"70732024102112421837307"</f>
        <v>70732024102112421837307</v>
      </c>
      <c r="D925" s="5" t="str">
        <f t="shared" si="21"/>
        <v>E2024094</v>
      </c>
      <c r="E925" s="5" t="s">
        <v>31</v>
      </c>
      <c r="F925" s="5" t="s">
        <v>32</v>
      </c>
      <c r="G925" s="5"/>
    </row>
    <row r="926" s="1" customFormat="1" ht="18" customHeight="1" spans="1:7">
      <c r="A926" s="5">
        <v>924</v>
      </c>
      <c r="B926" s="5" t="str">
        <f>"李述霞"</f>
        <v>李述霞</v>
      </c>
      <c r="C926" s="5" t="str">
        <f>"70732024102113324537759"</f>
        <v>70732024102113324537759</v>
      </c>
      <c r="D926" s="5" t="str">
        <f t="shared" si="21"/>
        <v>E2024094</v>
      </c>
      <c r="E926" s="5" t="s">
        <v>31</v>
      </c>
      <c r="F926" s="5" t="s">
        <v>32</v>
      </c>
      <c r="G926" s="5"/>
    </row>
    <row r="927" s="1" customFormat="1" ht="18" customHeight="1" spans="1:7">
      <c r="A927" s="5">
        <v>925</v>
      </c>
      <c r="B927" s="5" t="str">
        <f>"向立"</f>
        <v>向立</v>
      </c>
      <c r="C927" s="5" t="str">
        <f>"70732024102117143740345"</f>
        <v>70732024102117143740345</v>
      </c>
      <c r="D927" s="5" t="str">
        <f t="shared" si="21"/>
        <v>E2024094</v>
      </c>
      <c r="E927" s="5" t="s">
        <v>31</v>
      </c>
      <c r="F927" s="5" t="s">
        <v>32</v>
      </c>
      <c r="G927" s="5"/>
    </row>
    <row r="928" s="1" customFormat="1" ht="18" customHeight="1" spans="1:7">
      <c r="A928" s="5">
        <v>926</v>
      </c>
      <c r="B928" s="5" t="str">
        <f>"丁芋力"</f>
        <v>丁芋力</v>
      </c>
      <c r="C928" s="5" t="str">
        <f>"70732024102116021939350"</f>
        <v>70732024102116021939350</v>
      </c>
      <c r="D928" s="5" t="str">
        <f t="shared" si="21"/>
        <v>E2024094</v>
      </c>
      <c r="E928" s="5" t="s">
        <v>31</v>
      </c>
      <c r="F928" s="5" t="s">
        <v>32</v>
      </c>
      <c r="G928" s="5"/>
    </row>
    <row r="929" s="1" customFormat="1" ht="18" customHeight="1" spans="1:7">
      <c r="A929" s="5">
        <v>927</v>
      </c>
      <c r="B929" s="5" t="str">
        <f>"谭祥友"</f>
        <v>谭祥友</v>
      </c>
      <c r="C929" s="5" t="str">
        <f>"70732024102118442641085"</f>
        <v>70732024102118442641085</v>
      </c>
      <c r="D929" s="5" t="str">
        <f t="shared" si="21"/>
        <v>E2024094</v>
      </c>
      <c r="E929" s="5" t="s">
        <v>31</v>
      </c>
      <c r="F929" s="5" t="s">
        <v>32</v>
      </c>
      <c r="G929" s="5"/>
    </row>
    <row r="930" s="1" customFormat="1" ht="18" customHeight="1" spans="1:7">
      <c r="A930" s="5">
        <v>928</v>
      </c>
      <c r="B930" s="5" t="str">
        <f>"张颗"</f>
        <v>张颗</v>
      </c>
      <c r="C930" s="5" t="str">
        <f>"70732024101920495630010"</f>
        <v>70732024101920495630010</v>
      </c>
      <c r="D930" s="5" t="str">
        <f t="shared" si="21"/>
        <v>E2024094</v>
      </c>
      <c r="E930" s="5" t="s">
        <v>31</v>
      </c>
      <c r="F930" s="5" t="s">
        <v>32</v>
      </c>
      <c r="G930" s="5"/>
    </row>
    <row r="931" s="1" customFormat="1" ht="18" customHeight="1" spans="1:7">
      <c r="A931" s="5">
        <v>929</v>
      </c>
      <c r="B931" s="5" t="str">
        <f>"卓晓雪"</f>
        <v>卓晓雪</v>
      </c>
      <c r="C931" s="5" t="str">
        <f>"70732024102122192542687"</f>
        <v>70732024102122192542687</v>
      </c>
      <c r="D931" s="5" t="str">
        <f t="shared" si="21"/>
        <v>E2024094</v>
      </c>
      <c r="E931" s="5" t="s">
        <v>31</v>
      </c>
      <c r="F931" s="5" t="s">
        <v>32</v>
      </c>
      <c r="G931" s="5"/>
    </row>
    <row r="932" s="1" customFormat="1" ht="18" customHeight="1" spans="1:7">
      <c r="A932" s="5">
        <v>930</v>
      </c>
      <c r="B932" s="5" t="str">
        <f>"杨雨婷"</f>
        <v>杨雨婷</v>
      </c>
      <c r="C932" s="5" t="str">
        <f>"70732024102120071841754"</f>
        <v>70732024102120071841754</v>
      </c>
      <c r="D932" s="5" t="str">
        <f t="shared" si="21"/>
        <v>E2024094</v>
      </c>
      <c r="E932" s="5" t="s">
        <v>31</v>
      </c>
      <c r="F932" s="5" t="s">
        <v>32</v>
      </c>
      <c r="G932" s="5"/>
    </row>
    <row r="933" s="1" customFormat="1" ht="18" customHeight="1" spans="1:7">
      <c r="A933" s="5">
        <v>931</v>
      </c>
      <c r="B933" s="5" t="str">
        <f>"刘云芳"</f>
        <v>刘云芳</v>
      </c>
      <c r="C933" s="5" t="str">
        <f>"70732024102208393343398"</f>
        <v>70732024102208393343398</v>
      </c>
      <c r="D933" s="5" t="str">
        <f t="shared" si="21"/>
        <v>E2024094</v>
      </c>
      <c r="E933" s="5" t="s">
        <v>31</v>
      </c>
      <c r="F933" s="5" t="s">
        <v>32</v>
      </c>
      <c r="G933" s="5"/>
    </row>
    <row r="934" s="1" customFormat="1" ht="18" customHeight="1" spans="1:7">
      <c r="A934" s="5">
        <v>932</v>
      </c>
      <c r="B934" s="5" t="str">
        <f>"刘亮"</f>
        <v>刘亮</v>
      </c>
      <c r="C934" s="5" t="str">
        <f>"70732024102209544344233"</f>
        <v>70732024102209544344233</v>
      </c>
      <c r="D934" s="5" t="str">
        <f t="shared" si="21"/>
        <v>E2024094</v>
      </c>
      <c r="E934" s="5" t="s">
        <v>31</v>
      </c>
      <c r="F934" s="5" t="s">
        <v>32</v>
      </c>
      <c r="G934" s="5"/>
    </row>
    <row r="935" s="1" customFormat="1" ht="18" customHeight="1" spans="1:7">
      <c r="A935" s="5">
        <v>933</v>
      </c>
      <c r="B935" s="5" t="str">
        <f>"宋君"</f>
        <v>宋君</v>
      </c>
      <c r="C935" s="5" t="str">
        <f>"70732024102209593244282"</f>
        <v>70732024102209593244282</v>
      </c>
      <c r="D935" s="5" t="str">
        <f t="shared" si="21"/>
        <v>E2024094</v>
      </c>
      <c r="E935" s="5" t="s">
        <v>31</v>
      </c>
      <c r="F935" s="5" t="s">
        <v>32</v>
      </c>
      <c r="G935" s="5"/>
    </row>
    <row r="936" s="1" customFormat="1" ht="18" customHeight="1" spans="1:7">
      <c r="A936" s="5">
        <v>934</v>
      </c>
      <c r="B936" s="5" t="str">
        <f>"冉崇有"</f>
        <v>冉崇有</v>
      </c>
      <c r="C936" s="5" t="str">
        <f>"70732024102210114444404"</f>
        <v>70732024102210114444404</v>
      </c>
      <c r="D936" s="5" t="str">
        <f t="shared" si="21"/>
        <v>E2024094</v>
      </c>
      <c r="E936" s="5" t="s">
        <v>31</v>
      </c>
      <c r="F936" s="5" t="s">
        <v>32</v>
      </c>
      <c r="G936" s="5"/>
    </row>
    <row r="937" s="1" customFormat="1" ht="18" customHeight="1" spans="1:7">
      <c r="A937" s="5">
        <v>935</v>
      </c>
      <c r="B937" s="5" t="str">
        <f>"朱强瑞"</f>
        <v>朱强瑞</v>
      </c>
      <c r="C937" s="5" t="str">
        <f>"70732024102210334244672"</f>
        <v>70732024102210334244672</v>
      </c>
      <c r="D937" s="5" t="str">
        <f t="shared" si="21"/>
        <v>E2024094</v>
      </c>
      <c r="E937" s="5" t="s">
        <v>31</v>
      </c>
      <c r="F937" s="5" t="s">
        <v>32</v>
      </c>
      <c r="G937" s="5"/>
    </row>
    <row r="938" s="1" customFormat="1" ht="18" customHeight="1" spans="1:7">
      <c r="A938" s="5">
        <v>936</v>
      </c>
      <c r="B938" s="5" t="str">
        <f>"漆传灵"</f>
        <v>漆传灵</v>
      </c>
      <c r="C938" s="5" t="str">
        <f>"70732024102213161646058"</f>
        <v>70732024102213161646058</v>
      </c>
      <c r="D938" s="5" t="str">
        <f t="shared" si="21"/>
        <v>E2024094</v>
      </c>
      <c r="E938" s="5" t="s">
        <v>31</v>
      </c>
      <c r="F938" s="5" t="s">
        <v>32</v>
      </c>
      <c r="G938" s="5"/>
    </row>
    <row r="939" s="1" customFormat="1" ht="18" customHeight="1" spans="1:7">
      <c r="A939" s="5">
        <v>937</v>
      </c>
      <c r="B939" s="5" t="str">
        <f>"汤娜"</f>
        <v>汤娜</v>
      </c>
      <c r="C939" s="5" t="str">
        <f>"70732024102214421646609"</f>
        <v>70732024102214421646609</v>
      </c>
      <c r="D939" s="5" t="str">
        <f t="shared" si="21"/>
        <v>E2024094</v>
      </c>
      <c r="E939" s="5" t="s">
        <v>31</v>
      </c>
      <c r="F939" s="5" t="s">
        <v>32</v>
      </c>
      <c r="G939" s="5"/>
    </row>
    <row r="940" s="1" customFormat="1" ht="18" customHeight="1" spans="1:7">
      <c r="A940" s="5">
        <v>938</v>
      </c>
      <c r="B940" s="5" t="str">
        <f>"向娟宏"</f>
        <v>向娟宏</v>
      </c>
      <c r="C940" s="5" t="str">
        <f>"70732024102012263931235"</f>
        <v>70732024102012263931235</v>
      </c>
      <c r="D940" s="5" t="str">
        <f t="shared" si="21"/>
        <v>E2024094</v>
      </c>
      <c r="E940" s="5" t="s">
        <v>31</v>
      </c>
      <c r="F940" s="5" t="s">
        <v>32</v>
      </c>
      <c r="G940" s="5"/>
    </row>
    <row r="941" s="1" customFormat="1" ht="18" customHeight="1" spans="1:7">
      <c r="A941" s="5">
        <v>939</v>
      </c>
      <c r="B941" s="5" t="str">
        <f>"申婷婷"</f>
        <v>申婷婷</v>
      </c>
      <c r="C941" s="5" t="str">
        <f>"70732024102216343247672"</f>
        <v>70732024102216343247672</v>
      </c>
      <c r="D941" s="5" t="str">
        <f t="shared" si="21"/>
        <v>E2024094</v>
      </c>
      <c r="E941" s="5" t="s">
        <v>31</v>
      </c>
      <c r="F941" s="5" t="s">
        <v>32</v>
      </c>
      <c r="G941" s="5"/>
    </row>
    <row r="942" s="1" customFormat="1" ht="18" customHeight="1" spans="1:7">
      <c r="A942" s="5">
        <v>940</v>
      </c>
      <c r="B942" s="5" t="str">
        <f>"何康"</f>
        <v>何康</v>
      </c>
      <c r="C942" s="5" t="str">
        <f>"7073202410141726375757"</f>
        <v>7073202410141726375757</v>
      </c>
      <c r="D942" s="5" t="str">
        <f t="shared" si="21"/>
        <v>E2024094</v>
      </c>
      <c r="E942" s="5" t="s">
        <v>31</v>
      </c>
      <c r="F942" s="5" t="s">
        <v>32</v>
      </c>
      <c r="G942" s="5"/>
    </row>
    <row r="943" s="1" customFormat="1" ht="18" customHeight="1" spans="1:7">
      <c r="A943" s="5">
        <v>941</v>
      </c>
      <c r="B943" s="5" t="str">
        <f>"陈琳"</f>
        <v>陈琳</v>
      </c>
      <c r="C943" s="5" t="str">
        <f>"70732024102221252149769"</f>
        <v>70732024102221252149769</v>
      </c>
      <c r="D943" s="5" t="str">
        <f t="shared" si="21"/>
        <v>E2024094</v>
      </c>
      <c r="E943" s="5" t="s">
        <v>31</v>
      </c>
      <c r="F943" s="5" t="s">
        <v>32</v>
      </c>
      <c r="G943" s="5"/>
    </row>
    <row r="944" s="1" customFormat="1" ht="18" customHeight="1" spans="1:7">
      <c r="A944" s="5">
        <v>942</v>
      </c>
      <c r="B944" s="5" t="str">
        <f>"向玲玥"</f>
        <v>向玲玥</v>
      </c>
      <c r="C944" s="5" t="str">
        <f>"70732024102021243932953"</f>
        <v>70732024102021243932953</v>
      </c>
      <c r="D944" s="5" t="str">
        <f t="shared" si="21"/>
        <v>E2024094</v>
      </c>
      <c r="E944" s="5" t="s">
        <v>31</v>
      </c>
      <c r="F944" s="5" t="s">
        <v>32</v>
      </c>
      <c r="G944" s="5"/>
    </row>
    <row r="945" s="1" customFormat="1" ht="18" customHeight="1" spans="1:7">
      <c r="A945" s="5">
        <v>943</v>
      </c>
      <c r="B945" s="5" t="str">
        <f>"田梦鑫"</f>
        <v>田梦鑫</v>
      </c>
      <c r="C945" s="5" t="str">
        <f>"70732024102222522650389"</f>
        <v>70732024102222522650389</v>
      </c>
      <c r="D945" s="5" t="str">
        <f t="shared" si="21"/>
        <v>E2024094</v>
      </c>
      <c r="E945" s="5" t="s">
        <v>31</v>
      </c>
      <c r="F945" s="5" t="s">
        <v>32</v>
      </c>
      <c r="G945" s="5"/>
    </row>
    <row r="946" s="1" customFormat="1" ht="18" customHeight="1" spans="1:7">
      <c r="A946" s="5">
        <v>944</v>
      </c>
      <c r="B946" s="5" t="str">
        <f>"辛琼瑶"</f>
        <v>辛琼瑶</v>
      </c>
      <c r="C946" s="5" t="str">
        <f>"70732024101608363510719"</f>
        <v>70732024101608363510719</v>
      </c>
      <c r="D946" s="5" t="str">
        <f t="shared" si="21"/>
        <v>E2024094</v>
      </c>
      <c r="E946" s="5" t="s">
        <v>31</v>
      </c>
      <c r="F946" s="5" t="s">
        <v>32</v>
      </c>
      <c r="G946" s="5"/>
    </row>
    <row r="947" s="1" customFormat="1" ht="18" customHeight="1" spans="1:7">
      <c r="A947" s="5">
        <v>945</v>
      </c>
      <c r="B947" s="5" t="str">
        <f>"黄璐琳"</f>
        <v>黄璐琳</v>
      </c>
      <c r="C947" s="5" t="str">
        <f>"70732024102311163354248"</f>
        <v>70732024102311163354248</v>
      </c>
      <c r="D947" s="5" t="str">
        <f t="shared" si="21"/>
        <v>E2024094</v>
      </c>
      <c r="E947" s="5" t="s">
        <v>31</v>
      </c>
      <c r="F947" s="5" t="s">
        <v>32</v>
      </c>
      <c r="G947" s="5"/>
    </row>
    <row r="948" s="1" customFormat="1" ht="18" customHeight="1" spans="1:7">
      <c r="A948" s="5">
        <v>946</v>
      </c>
      <c r="B948" s="5" t="str">
        <f>"梅澳"</f>
        <v>梅澳</v>
      </c>
      <c r="C948" s="5" t="str">
        <f>"70732024102311470154674"</f>
        <v>70732024102311470154674</v>
      </c>
      <c r="D948" s="5" t="str">
        <f t="shared" si="21"/>
        <v>E2024094</v>
      </c>
      <c r="E948" s="5" t="s">
        <v>31</v>
      </c>
      <c r="F948" s="5" t="s">
        <v>32</v>
      </c>
      <c r="G948" s="5"/>
    </row>
    <row r="949" s="1" customFormat="1" ht="18" customHeight="1" spans="1:7">
      <c r="A949" s="5">
        <v>947</v>
      </c>
      <c r="B949" s="5" t="str">
        <f>"王玉焦"</f>
        <v>王玉焦</v>
      </c>
      <c r="C949" s="5" t="str">
        <f>"70732024102311423054622"</f>
        <v>70732024102311423054622</v>
      </c>
      <c r="D949" s="5" t="str">
        <f t="shared" si="21"/>
        <v>E2024094</v>
      </c>
      <c r="E949" s="5" t="s">
        <v>31</v>
      </c>
      <c r="F949" s="5" t="s">
        <v>32</v>
      </c>
      <c r="G949" s="5"/>
    </row>
    <row r="950" s="1" customFormat="1" ht="18" customHeight="1" spans="1:7">
      <c r="A950" s="5">
        <v>948</v>
      </c>
      <c r="B950" s="5" t="str">
        <f>"向荣"</f>
        <v>向荣</v>
      </c>
      <c r="C950" s="5" t="str">
        <f>"70732024102311212854319"</f>
        <v>70732024102311212854319</v>
      </c>
      <c r="D950" s="5" t="str">
        <f t="shared" si="21"/>
        <v>E2024094</v>
      </c>
      <c r="E950" s="5" t="s">
        <v>31</v>
      </c>
      <c r="F950" s="5" t="s">
        <v>32</v>
      </c>
      <c r="G950" s="5"/>
    </row>
    <row r="951" s="1" customFormat="1" ht="18" customHeight="1" spans="1:7">
      <c r="A951" s="5">
        <v>949</v>
      </c>
      <c r="B951" s="5" t="str">
        <f>"于阳"</f>
        <v>于阳</v>
      </c>
      <c r="C951" s="5" t="str">
        <f>"70732024102311074154086"</f>
        <v>70732024102311074154086</v>
      </c>
      <c r="D951" s="5" t="str">
        <f t="shared" si="21"/>
        <v>E2024094</v>
      </c>
      <c r="E951" s="5" t="s">
        <v>31</v>
      </c>
      <c r="F951" s="5" t="s">
        <v>32</v>
      </c>
      <c r="G951" s="5"/>
    </row>
    <row r="952" s="1" customFormat="1" ht="18" customHeight="1" spans="1:7">
      <c r="A952" s="5">
        <v>950</v>
      </c>
      <c r="B952" s="5" t="str">
        <f>"梅琴"</f>
        <v>梅琴</v>
      </c>
      <c r="C952" s="5" t="str">
        <f>"70732024102313140555711"</f>
        <v>70732024102313140555711</v>
      </c>
      <c r="D952" s="5" t="str">
        <f t="shared" si="21"/>
        <v>E2024094</v>
      </c>
      <c r="E952" s="5" t="s">
        <v>31</v>
      </c>
      <c r="F952" s="5" t="s">
        <v>32</v>
      </c>
      <c r="G952" s="5"/>
    </row>
    <row r="953" s="1" customFormat="1" ht="18" customHeight="1" spans="1:7">
      <c r="A953" s="5">
        <v>951</v>
      </c>
      <c r="B953" s="5" t="str">
        <f>"王传林"</f>
        <v>王传林</v>
      </c>
      <c r="C953" s="5" t="str">
        <f>"70732024102315395357569"</f>
        <v>70732024102315395357569</v>
      </c>
      <c r="D953" s="5" t="str">
        <f t="shared" si="21"/>
        <v>E2024094</v>
      </c>
      <c r="E953" s="5" t="s">
        <v>31</v>
      </c>
      <c r="F953" s="5" t="s">
        <v>32</v>
      </c>
      <c r="G953" s="5"/>
    </row>
    <row r="954" s="1" customFormat="1" ht="18" customHeight="1" spans="1:7">
      <c r="A954" s="5">
        <v>952</v>
      </c>
      <c r="B954" s="5" t="str">
        <f>"陈玺宇"</f>
        <v>陈玺宇</v>
      </c>
      <c r="C954" s="5" t="str">
        <f>"70732024102017542132232"</f>
        <v>70732024102017542132232</v>
      </c>
      <c r="D954" s="5" t="str">
        <f t="shared" si="21"/>
        <v>E2024094</v>
      </c>
      <c r="E954" s="5" t="s">
        <v>31</v>
      </c>
      <c r="F954" s="5" t="s">
        <v>32</v>
      </c>
      <c r="G954" s="5"/>
    </row>
    <row r="955" s="1" customFormat="1" ht="18" customHeight="1" spans="1:7">
      <c r="A955" s="5">
        <v>953</v>
      </c>
      <c r="B955" s="5" t="str">
        <f>"肖诗泽"</f>
        <v>肖诗泽</v>
      </c>
      <c r="C955" s="5" t="str">
        <f>"70732024102317591659345"</f>
        <v>70732024102317591659345</v>
      </c>
      <c r="D955" s="5" t="str">
        <f t="shared" si="21"/>
        <v>E2024094</v>
      </c>
      <c r="E955" s="5" t="s">
        <v>31</v>
      </c>
      <c r="F955" s="5" t="s">
        <v>32</v>
      </c>
      <c r="G955" s="5"/>
    </row>
    <row r="956" s="1" customFormat="1" ht="18" customHeight="1" spans="1:7">
      <c r="A956" s="5">
        <v>954</v>
      </c>
      <c r="B956" s="5" t="str">
        <f>"龙旭"</f>
        <v>龙旭</v>
      </c>
      <c r="C956" s="5" t="str">
        <f>"7073202410141611365553"</f>
        <v>7073202410141611365553</v>
      </c>
      <c r="D956" s="5" t="str">
        <f t="shared" si="21"/>
        <v>E2024094</v>
      </c>
      <c r="E956" s="5" t="s">
        <v>31</v>
      </c>
      <c r="F956" s="5" t="s">
        <v>32</v>
      </c>
      <c r="G956" s="5"/>
    </row>
    <row r="957" s="1" customFormat="1" ht="18" customHeight="1" spans="1:7">
      <c r="A957" s="5">
        <v>955</v>
      </c>
      <c r="B957" s="5" t="str">
        <f>"张秋艳"</f>
        <v>张秋艳</v>
      </c>
      <c r="C957" s="5" t="str">
        <f>"70732024102318470059782"</f>
        <v>70732024102318470059782</v>
      </c>
      <c r="D957" s="5" t="str">
        <f t="shared" si="21"/>
        <v>E2024094</v>
      </c>
      <c r="E957" s="5" t="s">
        <v>31</v>
      </c>
      <c r="F957" s="5" t="s">
        <v>32</v>
      </c>
      <c r="G957" s="5"/>
    </row>
    <row r="958" s="1" customFormat="1" ht="18" customHeight="1" spans="1:7">
      <c r="A958" s="5">
        <v>956</v>
      </c>
      <c r="B958" s="5" t="str">
        <f>"王楠"</f>
        <v>王楠</v>
      </c>
      <c r="C958" s="5" t="str">
        <f>"70732024102319565960533"</f>
        <v>70732024102319565960533</v>
      </c>
      <c r="D958" s="5" t="str">
        <f t="shared" si="21"/>
        <v>E2024094</v>
      </c>
      <c r="E958" s="5" t="s">
        <v>31</v>
      </c>
      <c r="F958" s="5" t="s">
        <v>32</v>
      </c>
      <c r="G958" s="5"/>
    </row>
    <row r="959" s="1" customFormat="1" ht="18" customHeight="1" spans="1:7">
      <c r="A959" s="5">
        <v>957</v>
      </c>
      <c r="B959" s="5" t="str">
        <f>"梅婷"</f>
        <v>梅婷</v>
      </c>
      <c r="C959" s="5" t="str">
        <f>"70732024102320044160606"</f>
        <v>70732024102320044160606</v>
      </c>
      <c r="D959" s="5" t="str">
        <f t="shared" si="21"/>
        <v>E2024094</v>
      </c>
      <c r="E959" s="5" t="s">
        <v>31</v>
      </c>
      <c r="F959" s="5" t="s">
        <v>32</v>
      </c>
      <c r="G959" s="5"/>
    </row>
    <row r="960" s="1" customFormat="1" ht="18" customHeight="1" spans="1:7">
      <c r="A960" s="5">
        <v>958</v>
      </c>
      <c r="B960" s="5" t="str">
        <f>"陈彩艳"</f>
        <v>陈彩艳</v>
      </c>
      <c r="C960" s="5" t="str">
        <f>"70732024102210594344964"</f>
        <v>70732024102210594344964</v>
      </c>
      <c r="D960" s="5" t="str">
        <f t="shared" si="21"/>
        <v>E2024094</v>
      </c>
      <c r="E960" s="5" t="s">
        <v>31</v>
      </c>
      <c r="F960" s="5" t="s">
        <v>32</v>
      </c>
      <c r="G960" s="5"/>
    </row>
    <row r="961" s="1" customFormat="1" ht="18" customHeight="1" spans="1:7">
      <c r="A961" s="5">
        <v>959</v>
      </c>
      <c r="B961" s="5" t="str">
        <f>"盛峰源"</f>
        <v>盛峰源</v>
      </c>
      <c r="C961" s="5" t="str">
        <f>"70732024102413553266966"</f>
        <v>70732024102413553266966</v>
      </c>
      <c r="D961" s="5" t="str">
        <f t="shared" si="21"/>
        <v>E2024094</v>
      </c>
      <c r="E961" s="5" t="s">
        <v>31</v>
      </c>
      <c r="F961" s="5" t="s">
        <v>32</v>
      </c>
      <c r="G961" s="5"/>
    </row>
    <row r="962" s="1" customFormat="1" ht="18" customHeight="1" spans="1:7">
      <c r="A962" s="5">
        <v>960</v>
      </c>
      <c r="B962" s="5" t="str">
        <f>"黄洪"</f>
        <v>黄洪</v>
      </c>
      <c r="C962" s="5" t="str">
        <f>"7073202410141625495591"</f>
        <v>7073202410141625495591</v>
      </c>
      <c r="D962" s="5" t="str">
        <f t="shared" si="21"/>
        <v>E2024094</v>
      </c>
      <c r="E962" s="5" t="s">
        <v>31</v>
      </c>
      <c r="F962" s="5" t="s">
        <v>32</v>
      </c>
      <c r="G962" s="5"/>
    </row>
    <row r="963" s="1" customFormat="1" ht="18" customHeight="1" spans="1:7">
      <c r="A963" s="5">
        <v>961</v>
      </c>
      <c r="B963" s="5" t="str">
        <f>"杨玲"</f>
        <v>杨玲</v>
      </c>
      <c r="C963" s="5" t="str">
        <f>"70732024102418362369839"</f>
        <v>70732024102418362369839</v>
      </c>
      <c r="D963" s="5" t="str">
        <f t="shared" si="21"/>
        <v>E2024094</v>
      </c>
      <c r="E963" s="5" t="s">
        <v>31</v>
      </c>
      <c r="F963" s="5" t="s">
        <v>32</v>
      </c>
      <c r="G963" s="5"/>
    </row>
    <row r="964" s="1" customFormat="1" ht="18" customHeight="1" spans="1:7">
      <c r="A964" s="5">
        <v>962</v>
      </c>
      <c r="B964" s="5" t="str">
        <f>"刘航"</f>
        <v>刘航</v>
      </c>
      <c r="C964" s="5" t="str">
        <f>"70732024102419512270488"</f>
        <v>70732024102419512270488</v>
      </c>
      <c r="D964" s="5" t="str">
        <f t="shared" si="21"/>
        <v>E2024094</v>
      </c>
      <c r="E964" s="5" t="s">
        <v>31</v>
      </c>
      <c r="F964" s="5" t="s">
        <v>32</v>
      </c>
      <c r="G964" s="5"/>
    </row>
    <row r="965" s="1" customFormat="1" ht="18" customHeight="1" spans="1:7">
      <c r="A965" s="5">
        <v>963</v>
      </c>
      <c r="B965" s="5" t="str">
        <f>"李洁玲"</f>
        <v>李洁玲</v>
      </c>
      <c r="C965" s="5" t="str">
        <f>"70732024102421063271206"</f>
        <v>70732024102421063271206</v>
      </c>
      <c r="D965" s="5" t="str">
        <f t="shared" ref="D965:D974" si="22">"E2024094"</f>
        <v>E2024094</v>
      </c>
      <c r="E965" s="5" t="s">
        <v>31</v>
      </c>
      <c r="F965" s="5" t="s">
        <v>32</v>
      </c>
      <c r="G965" s="5"/>
    </row>
    <row r="966" s="1" customFormat="1" ht="18" customHeight="1" spans="1:7">
      <c r="A966" s="5">
        <v>964</v>
      </c>
      <c r="B966" s="5" t="str">
        <f>"杨年杰"</f>
        <v>杨年杰</v>
      </c>
      <c r="C966" s="5" t="str">
        <f>"7073202410141055524691"</f>
        <v>7073202410141055524691</v>
      </c>
      <c r="D966" s="5" t="str">
        <f t="shared" si="22"/>
        <v>E2024094</v>
      </c>
      <c r="E966" s="5" t="s">
        <v>31</v>
      </c>
      <c r="F966" s="5" t="s">
        <v>32</v>
      </c>
      <c r="G966" s="5"/>
    </row>
    <row r="967" s="1" customFormat="1" ht="18" customHeight="1" spans="1:7">
      <c r="A967" s="5">
        <v>965</v>
      </c>
      <c r="B967" s="5" t="str">
        <f>"钟丽华"</f>
        <v>钟丽华</v>
      </c>
      <c r="C967" s="5" t="str">
        <f>"70732024102422582272200"</f>
        <v>70732024102422582272200</v>
      </c>
      <c r="D967" s="5" t="str">
        <f t="shared" si="22"/>
        <v>E2024094</v>
      </c>
      <c r="E967" s="5" t="s">
        <v>31</v>
      </c>
      <c r="F967" s="5" t="s">
        <v>32</v>
      </c>
      <c r="G967" s="5"/>
    </row>
    <row r="968" s="1" customFormat="1" ht="18" customHeight="1" spans="1:7">
      <c r="A968" s="5">
        <v>966</v>
      </c>
      <c r="B968" s="5" t="str">
        <f>"高绮"</f>
        <v>高绮</v>
      </c>
      <c r="C968" s="5" t="str">
        <f>"70732024101920562930031"</f>
        <v>70732024101920562930031</v>
      </c>
      <c r="D968" s="5" t="str">
        <f t="shared" si="22"/>
        <v>E2024094</v>
      </c>
      <c r="E968" s="5" t="s">
        <v>31</v>
      </c>
      <c r="F968" s="5" t="s">
        <v>32</v>
      </c>
      <c r="G968" s="5"/>
    </row>
    <row r="969" s="1" customFormat="1" ht="18" customHeight="1" spans="1:7">
      <c r="A969" s="5">
        <v>967</v>
      </c>
      <c r="B969" s="5" t="str">
        <f>"陈婷婷"</f>
        <v>陈婷婷</v>
      </c>
      <c r="C969" s="5" t="str">
        <f>"70732024102423061772251"</f>
        <v>70732024102423061772251</v>
      </c>
      <c r="D969" s="5" t="str">
        <f t="shared" si="22"/>
        <v>E2024094</v>
      </c>
      <c r="E969" s="5" t="s">
        <v>31</v>
      </c>
      <c r="F969" s="5" t="s">
        <v>32</v>
      </c>
      <c r="G969" s="5"/>
    </row>
    <row r="970" s="1" customFormat="1" ht="18" customHeight="1" spans="1:7">
      <c r="A970" s="5">
        <v>968</v>
      </c>
      <c r="B970" s="5" t="str">
        <f>"郑琴"</f>
        <v>郑琴</v>
      </c>
      <c r="C970" s="5" t="str">
        <f>"70732024102216373147707"</f>
        <v>70732024102216373147707</v>
      </c>
      <c r="D970" s="5" t="str">
        <f t="shared" si="22"/>
        <v>E2024094</v>
      </c>
      <c r="E970" s="5" t="s">
        <v>31</v>
      </c>
      <c r="F970" s="5" t="s">
        <v>32</v>
      </c>
      <c r="G970" s="5"/>
    </row>
    <row r="971" s="1" customFormat="1" ht="18" customHeight="1" spans="1:7">
      <c r="A971" s="5">
        <v>969</v>
      </c>
      <c r="B971" s="5" t="str">
        <f>"覃芳芳"</f>
        <v>覃芳芳</v>
      </c>
      <c r="C971" s="5" t="str">
        <f>"70732024102510164574013"</f>
        <v>70732024102510164574013</v>
      </c>
      <c r="D971" s="5" t="str">
        <f t="shared" si="22"/>
        <v>E2024094</v>
      </c>
      <c r="E971" s="5" t="s">
        <v>31</v>
      </c>
      <c r="F971" s="5" t="s">
        <v>32</v>
      </c>
      <c r="G971" s="5"/>
    </row>
    <row r="972" s="1" customFormat="1" ht="18" customHeight="1" spans="1:7">
      <c r="A972" s="5">
        <v>970</v>
      </c>
      <c r="B972" s="5" t="str">
        <f>"姚铭坤"</f>
        <v>姚铭坤</v>
      </c>
      <c r="C972" s="5" t="str">
        <f>"70732024102509063673276"</f>
        <v>70732024102509063673276</v>
      </c>
      <c r="D972" s="5" t="str">
        <f t="shared" si="22"/>
        <v>E2024094</v>
      </c>
      <c r="E972" s="5" t="s">
        <v>31</v>
      </c>
      <c r="F972" s="5" t="s">
        <v>32</v>
      </c>
      <c r="G972" s="5"/>
    </row>
    <row r="973" s="1" customFormat="1" ht="18" customHeight="1" spans="1:7">
      <c r="A973" s="5">
        <v>971</v>
      </c>
      <c r="B973" s="5" t="str">
        <f>"骆海艳"</f>
        <v>骆海艳</v>
      </c>
      <c r="C973" s="5" t="str">
        <f>"70732024102514314776325"</f>
        <v>70732024102514314776325</v>
      </c>
      <c r="D973" s="5" t="str">
        <f t="shared" si="22"/>
        <v>E2024094</v>
      </c>
      <c r="E973" s="5" t="s">
        <v>31</v>
      </c>
      <c r="F973" s="5" t="s">
        <v>32</v>
      </c>
      <c r="G973" s="5"/>
    </row>
    <row r="974" s="1" customFormat="1" ht="18" customHeight="1" spans="1:7">
      <c r="A974" s="5">
        <v>972</v>
      </c>
      <c r="B974" s="5" t="str">
        <f>"向倩"</f>
        <v>向倩</v>
      </c>
      <c r="C974" s="5" t="str">
        <f>"70732024102515201576890"</f>
        <v>70732024102515201576890</v>
      </c>
      <c r="D974" s="5" t="str">
        <f t="shared" si="22"/>
        <v>E2024094</v>
      </c>
      <c r="E974" s="5" t="s">
        <v>31</v>
      </c>
      <c r="F974" s="5" t="s">
        <v>32</v>
      </c>
      <c r="G974" s="5"/>
    </row>
    <row r="975" s="1" customFormat="1" ht="18" customHeight="1" spans="1:7">
      <c r="A975" s="5">
        <v>973</v>
      </c>
      <c r="B975" s="5" t="str">
        <f>"田远磊"</f>
        <v>田远磊</v>
      </c>
      <c r="C975" s="5" t="str">
        <f>"7073202410120901361469"</f>
        <v>7073202410120901361469</v>
      </c>
      <c r="D975" s="5" t="str">
        <f t="shared" ref="D975:D1038" si="23">"E2024095"</f>
        <v>E2024095</v>
      </c>
      <c r="E975" s="5" t="s">
        <v>33</v>
      </c>
      <c r="F975" s="5" t="s">
        <v>34</v>
      </c>
      <c r="G975" s="5"/>
    </row>
    <row r="976" s="1" customFormat="1" ht="18" customHeight="1" spans="1:7">
      <c r="A976" s="5">
        <v>974</v>
      </c>
      <c r="B976" s="5" t="str">
        <f>"熊琰"</f>
        <v>熊琰</v>
      </c>
      <c r="C976" s="5" t="str">
        <f>"7073202410120902211477"</f>
        <v>7073202410120902211477</v>
      </c>
      <c r="D976" s="5" t="str">
        <f t="shared" si="23"/>
        <v>E2024095</v>
      </c>
      <c r="E976" s="5" t="s">
        <v>33</v>
      </c>
      <c r="F976" s="5" t="s">
        <v>34</v>
      </c>
      <c r="G976" s="5"/>
    </row>
    <row r="977" s="1" customFormat="1" ht="18" customHeight="1" spans="1:7">
      <c r="A977" s="5">
        <v>975</v>
      </c>
      <c r="B977" s="5" t="str">
        <f>"王博"</f>
        <v>王博</v>
      </c>
      <c r="C977" s="5" t="str">
        <f>"7073202410120925201591"</f>
        <v>7073202410120925201591</v>
      </c>
      <c r="D977" s="5" t="str">
        <f t="shared" si="23"/>
        <v>E2024095</v>
      </c>
      <c r="E977" s="5" t="s">
        <v>33</v>
      </c>
      <c r="F977" s="5" t="s">
        <v>34</v>
      </c>
      <c r="G977" s="5"/>
    </row>
    <row r="978" s="1" customFormat="1" ht="18" customHeight="1" spans="1:7">
      <c r="A978" s="5">
        <v>976</v>
      </c>
      <c r="B978" s="5" t="str">
        <f>"肖磊"</f>
        <v>肖磊</v>
      </c>
      <c r="C978" s="5" t="str">
        <f>"7073202410120945041660"</f>
        <v>7073202410120945041660</v>
      </c>
      <c r="D978" s="5" t="str">
        <f t="shared" si="23"/>
        <v>E2024095</v>
      </c>
      <c r="E978" s="5" t="s">
        <v>33</v>
      </c>
      <c r="F978" s="5" t="s">
        <v>34</v>
      </c>
      <c r="G978" s="5"/>
    </row>
    <row r="979" s="1" customFormat="1" ht="18" customHeight="1" spans="1:7">
      <c r="A979" s="5">
        <v>977</v>
      </c>
      <c r="B979" s="5" t="str">
        <f>"夏锋"</f>
        <v>夏锋</v>
      </c>
      <c r="C979" s="5" t="str">
        <f>"7073202410120950171682"</f>
        <v>7073202410120950171682</v>
      </c>
      <c r="D979" s="5" t="str">
        <f t="shared" si="23"/>
        <v>E2024095</v>
      </c>
      <c r="E979" s="5" t="s">
        <v>33</v>
      </c>
      <c r="F979" s="5" t="s">
        <v>34</v>
      </c>
      <c r="G979" s="5"/>
    </row>
    <row r="980" s="1" customFormat="1" ht="18" customHeight="1" spans="1:7">
      <c r="A980" s="5">
        <v>978</v>
      </c>
      <c r="B980" s="5" t="str">
        <f>"金伟"</f>
        <v>金伟</v>
      </c>
      <c r="C980" s="5" t="str">
        <f>"7073202410120936401630"</f>
        <v>7073202410120936401630</v>
      </c>
      <c r="D980" s="5" t="str">
        <f t="shared" si="23"/>
        <v>E2024095</v>
      </c>
      <c r="E980" s="5" t="s">
        <v>33</v>
      </c>
      <c r="F980" s="5" t="s">
        <v>34</v>
      </c>
      <c r="G980" s="5"/>
    </row>
    <row r="981" s="1" customFormat="1" ht="18" customHeight="1" spans="1:7">
      <c r="A981" s="5">
        <v>979</v>
      </c>
      <c r="B981" s="5" t="str">
        <f>"杨弘杰"</f>
        <v>杨弘杰</v>
      </c>
      <c r="C981" s="5" t="str">
        <f>"7073202410120901171464"</f>
        <v>7073202410120901171464</v>
      </c>
      <c r="D981" s="5" t="str">
        <f t="shared" si="23"/>
        <v>E2024095</v>
      </c>
      <c r="E981" s="5" t="s">
        <v>33</v>
      </c>
      <c r="F981" s="5" t="s">
        <v>34</v>
      </c>
      <c r="G981" s="5"/>
    </row>
    <row r="982" s="1" customFormat="1" ht="18" customHeight="1" spans="1:7">
      <c r="A982" s="5">
        <v>980</v>
      </c>
      <c r="B982" s="5" t="str">
        <f>"骆飞龙"</f>
        <v>骆飞龙</v>
      </c>
      <c r="C982" s="5" t="str">
        <f>"7073202410121038461866"</f>
        <v>7073202410121038461866</v>
      </c>
      <c r="D982" s="5" t="str">
        <f t="shared" si="23"/>
        <v>E2024095</v>
      </c>
      <c r="E982" s="5" t="s">
        <v>33</v>
      </c>
      <c r="F982" s="5" t="s">
        <v>34</v>
      </c>
      <c r="G982" s="5"/>
    </row>
    <row r="983" s="1" customFormat="1" ht="18" customHeight="1" spans="1:7">
      <c r="A983" s="5">
        <v>981</v>
      </c>
      <c r="B983" s="5" t="str">
        <f>"曾学文"</f>
        <v>曾学文</v>
      </c>
      <c r="C983" s="5" t="str">
        <f>"7073202410121115211982"</f>
        <v>7073202410121115211982</v>
      </c>
      <c r="D983" s="5" t="str">
        <f t="shared" si="23"/>
        <v>E2024095</v>
      </c>
      <c r="E983" s="5" t="s">
        <v>33</v>
      </c>
      <c r="F983" s="5" t="s">
        <v>34</v>
      </c>
      <c r="G983" s="5"/>
    </row>
    <row r="984" s="1" customFormat="1" ht="18" customHeight="1" spans="1:7">
      <c r="A984" s="5">
        <v>982</v>
      </c>
      <c r="B984" s="5" t="str">
        <f>"罗文艺"</f>
        <v>罗文艺</v>
      </c>
      <c r="C984" s="5" t="str">
        <f>"7073202410121159552115"</f>
        <v>7073202410121159552115</v>
      </c>
      <c r="D984" s="5" t="str">
        <f t="shared" si="23"/>
        <v>E2024095</v>
      </c>
      <c r="E984" s="5" t="s">
        <v>33</v>
      </c>
      <c r="F984" s="5" t="s">
        <v>34</v>
      </c>
      <c r="G984" s="5"/>
    </row>
    <row r="985" s="1" customFormat="1" ht="18" customHeight="1" spans="1:7">
      <c r="A985" s="5">
        <v>983</v>
      </c>
      <c r="B985" s="5" t="str">
        <f>"向文弢"</f>
        <v>向文弢</v>
      </c>
      <c r="C985" s="5" t="str">
        <f>"7073202410121211072137"</f>
        <v>7073202410121211072137</v>
      </c>
      <c r="D985" s="5" t="str">
        <f t="shared" si="23"/>
        <v>E2024095</v>
      </c>
      <c r="E985" s="5" t="s">
        <v>33</v>
      </c>
      <c r="F985" s="5" t="s">
        <v>34</v>
      </c>
      <c r="G985" s="5"/>
    </row>
    <row r="986" s="1" customFormat="1" ht="18" customHeight="1" spans="1:7">
      <c r="A986" s="5">
        <v>984</v>
      </c>
      <c r="B986" s="5" t="str">
        <f>"周雯垚"</f>
        <v>周雯垚</v>
      </c>
      <c r="C986" s="5" t="str">
        <f>"7073202410121321102275"</f>
        <v>7073202410121321102275</v>
      </c>
      <c r="D986" s="5" t="str">
        <f t="shared" si="23"/>
        <v>E2024095</v>
      </c>
      <c r="E986" s="5" t="s">
        <v>33</v>
      </c>
      <c r="F986" s="5" t="s">
        <v>34</v>
      </c>
      <c r="G986" s="5"/>
    </row>
    <row r="987" s="1" customFormat="1" ht="18" customHeight="1" spans="1:7">
      <c r="A987" s="5">
        <v>985</v>
      </c>
      <c r="B987" s="5" t="str">
        <f>"张显钢"</f>
        <v>张显钢</v>
      </c>
      <c r="C987" s="5" t="str">
        <f>"7073202410121335562297"</f>
        <v>7073202410121335562297</v>
      </c>
      <c r="D987" s="5" t="str">
        <f t="shared" si="23"/>
        <v>E2024095</v>
      </c>
      <c r="E987" s="5" t="s">
        <v>33</v>
      </c>
      <c r="F987" s="5" t="s">
        <v>34</v>
      </c>
      <c r="G987" s="5"/>
    </row>
    <row r="988" s="1" customFormat="1" ht="18" customHeight="1" spans="1:7">
      <c r="A988" s="5">
        <v>986</v>
      </c>
      <c r="B988" s="5" t="str">
        <f>"谷祥冰"</f>
        <v>谷祥冰</v>
      </c>
      <c r="C988" s="5" t="str">
        <f>"7073202410121425522380"</f>
        <v>7073202410121425522380</v>
      </c>
      <c r="D988" s="5" t="str">
        <f t="shared" si="23"/>
        <v>E2024095</v>
      </c>
      <c r="E988" s="5" t="s">
        <v>33</v>
      </c>
      <c r="F988" s="5" t="s">
        <v>34</v>
      </c>
      <c r="G988" s="5"/>
    </row>
    <row r="989" s="1" customFormat="1" ht="18" customHeight="1" spans="1:7">
      <c r="A989" s="5">
        <v>987</v>
      </c>
      <c r="B989" s="5" t="str">
        <f>"王义夫"</f>
        <v>王义夫</v>
      </c>
      <c r="C989" s="5" t="str">
        <f>"7073202410121539222531"</f>
        <v>7073202410121539222531</v>
      </c>
      <c r="D989" s="5" t="str">
        <f t="shared" si="23"/>
        <v>E2024095</v>
      </c>
      <c r="E989" s="5" t="s">
        <v>33</v>
      </c>
      <c r="F989" s="5" t="s">
        <v>34</v>
      </c>
      <c r="G989" s="5"/>
    </row>
    <row r="990" s="1" customFormat="1" ht="18" customHeight="1" spans="1:7">
      <c r="A990" s="5">
        <v>988</v>
      </c>
      <c r="B990" s="5" t="str">
        <f>"李来俊"</f>
        <v>李来俊</v>
      </c>
      <c r="C990" s="5" t="str">
        <f>"7073202410121559342581"</f>
        <v>7073202410121559342581</v>
      </c>
      <c r="D990" s="5" t="str">
        <f t="shared" si="23"/>
        <v>E2024095</v>
      </c>
      <c r="E990" s="5" t="s">
        <v>33</v>
      </c>
      <c r="F990" s="5" t="s">
        <v>34</v>
      </c>
      <c r="G990" s="5"/>
    </row>
    <row r="991" s="1" customFormat="1" ht="18" customHeight="1" spans="1:7">
      <c r="A991" s="5">
        <v>989</v>
      </c>
      <c r="B991" s="5" t="str">
        <f>"瞿若冰"</f>
        <v>瞿若冰</v>
      </c>
      <c r="C991" s="5" t="str">
        <f>"7073202410121616372626"</f>
        <v>7073202410121616372626</v>
      </c>
      <c r="D991" s="5" t="str">
        <f t="shared" si="23"/>
        <v>E2024095</v>
      </c>
      <c r="E991" s="5" t="s">
        <v>33</v>
      </c>
      <c r="F991" s="5" t="s">
        <v>34</v>
      </c>
      <c r="G991" s="5"/>
    </row>
    <row r="992" s="1" customFormat="1" ht="18" customHeight="1" spans="1:7">
      <c r="A992" s="5">
        <v>990</v>
      </c>
      <c r="B992" s="5" t="str">
        <f>"聂潇"</f>
        <v>聂潇</v>
      </c>
      <c r="C992" s="5" t="str">
        <f>"7073202410121639552673"</f>
        <v>7073202410121639552673</v>
      </c>
      <c r="D992" s="5" t="str">
        <f t="shared" si="23"/>
        <v>E2024095</v>
      </c>
      <c r="E992" s="5" t="s">
        <v>33</v>
      </c>
      <c r="F992" s="5" t="s">
        <v>34</v>
      </c>
      <c r="G992" s="5"/>
    </row>
    <row r="993" s="1" customFormat="1" ht="18" customHeight="1" spans="1:7">
      <c r="A993" s="5">
        <v>991</v>
      </c>
      <c r="B993" s="5" t="str">
        <f>"汪德奎"</f>
        <v>汪德奎</v>
      </c>
      <c r="C993" s="5" t="str">
        <f>"7073202410121742542755"</f>
        <v>7073202410121742542755</v>
      </c>
      <c r="D993" s="5" t="str">
        <f t="shared" si="23"/>
        <v>E2024095</v>
      </c>
      <c r="E993" s="5" t="s">
        <v>33</v>
      </c>
      <c r="F993" s="5" t="s">
        <v>34</v>
      </c>
      <c r="G993" s="5"/>
    </row>
    <row r="994" s="1" customFormat="1" ht="18" customHeight="1" spans="1:7">
      <c r="A994" s="5">
        <v>992</v>
      </c>
      <c r="B994" s="5" t="str">
        <f>"黄维"</f>
        <v>黄维</v>
      </c>
      <c r="C994" s="5" t="str">
        <f>"7073202410121819202808"</f>
        <v>7073202410121819202808</v>
      </c>
      <c r="D994" s="5" t="str">
        <f t="shared" si="23"/>
        <v>E2024095</v>
      </c>
      <c r="E994" s="5" t="s">
        <v>33</v>
      </c>
      <c r="F994" s="5" t="s">
        <v>34</v>
      </c>
      <c r="G994" s="5"/>
    </row>
    <row r="995" s="1" customFormat="1" ht="18" customHeight="1" spans="1:7">
      <c r="A995" s="5">
        <v>993</v>
      </c>
      <c r="B995" s="5" t="str">
        <f>"李姗姗"</f>
        <v>李姗姗</v>
      </c>
      <c r="C995" s="5" t="str">
        <f>"7073202410121832492818"</f>
        <v>7073202410121832492818</v>
      </c>
      <c r="D995" s="5" t="str">
        <f t="shared" si="23"/>
        <v>E2024095</v>
      </c>
      <c r="E995" s="5" t="s">
        <v>33</v>
      </c>
      <c r="F995" s="5" t="s">
        <v>34</v>
      </c>
      <c r="G995" s="5"/>
    </row>
    <row r="996" s="1" customFormat="1" ht="18" customHeight="1" spans="1:7">
      <c r="A996" s="5">
        <v>994</v>
      </c>
      <c r="B996" s="5" t="str">
        <f>"滕妮莉"</f>
        <v>滕妮莉</v>
      </c>
      <c r="C996" s="5" t="str">
        <f>"7073202410121912272866"</f>
        <v>7073202410121912272866</v>
      </c>
      <c r="D996" s="5" t="str">
        <f t="shared" si="23"/>
        <v>E2024095</v>
      </c>
      <c r="E996" s="5" t="s">
        <v>33</v>
      </c>
      <c r="F996" s="5" t="s">
        <v>34</v>
      </c>
      <c r="G996" s="5"/>
    </row>
    <row r="997" s="1" customFormat="1" ht="18" customHeight="1" spans="1:7">
      <c r="A997" s="5">
        <v>995</v>
      </c>
      <c r="B997" s="5" t="str">
        <f>"彭莉"</f>
        <v>彭莉</v>
      </c>
      <c r="C997" s="5" t="str">
        <f>"7073202410122011042939"</f>
        <v>7073202410122011042939</v>
      </c>
      <c r="D997" s="5" t="str">
        <f t="shared" si="23"/>
        <v>E2024095</v>
      </c>
      <c r="E997" s="5" t="s">
        <v>33</v>
      </c>
      <c r="F997" s="5" t="s">
        <v>34</v>
      </c>
      <c r="G997" s="5"/>
    </row>
    <row r="998" s="1" customFormat="1" ht="18" customHeight="1" spans="1:7">
      <c r="A998" s="5">
        <v>996</v>
      </c>
      <c r="B998" s="5" t="str">
        <f>"冯艺煊"</f>
        <v>冯艺煊</v>
      </c>
      <c r="C998" s="5" t="str">
        <f>"7073202410122151143041"</f>
        <v>7073202410122151143041</v>
      </c>
      <c r="D998" s="5" t="str">
        <f t="shared" si="23"/>
        <v>E2024095</v>
      </c>
      <c r="E998" s="5" t="s">
        <v>33</v>
      </c>
      <c r="F998" s="5" t="s">
        <v>34</v>
      </c>
      <c r="G998" s="5"/>
    </row>
    <row r="999" s="1" customFormat="1" ht="18" customHeight="1" spans="1:7">
      <c r="A999" s="5">
        <v>997</v>
      </c>
      <c r="B999" s="5" t="str">
        <f>"黄荣"</f>
        <v>黄荣</v>
      </c>
      <c r="C999" s="5" t="str">
        <f>"7073202410130941383203"</f>
        <v>7073202410130941383203</v>
      </c>
      <c r="D999" s="5" t="str">
        <f t="shared" si="23"/>
        <v>E2024095</v>
      </c>
      <c r="E999" s="5" t="s">
        <v>33</v>
      </c>
      <c r="F999" s="5" t="s">
        <v>34</v>
      </c>
      <c r="G999" s="5"/>
    </row>
    <row r="1000" s="1" customFormat="1" ht="18" customHeight="1" spans="1:7">
      <c r="A1000" s="5">
        <v>998</v>
      </c>
      <c r="B1000" s="5" t="str">
        <f>"何陈"</f>
        <v>何陈</v>
      </c>
      <c r="C1000" s="5" t="str">
        <f>"7073202410131128543302"</f>
        <v>7073202410131128543302</v>
      </c>
      <c r="D1000" s="5" t="str">
        <f t="shared" si="23"/>
        <v>E2024095</v>
      </c>
      <c r="E1000" s="5" t="s">
        <v>33</v>
      </c>
      <c r="F1000" s="5" t="s">
        <v>34</v>
      </c>
      <c r="G1000" s="5"/>
    </row>
    <row r="1001" s="1" customFormat="1" ht="18" customHeight="1" spans="1:7">
      <c r="A1001" s="5">
        <v>999</v>
      </c>
      <c r="B1001" s="5" t="str">
        <f>"吴方琴"</f>
        <v>吴方琴</v>
      </c>
      <c r="C1001" s="5" t="str">
        <f>"7073202410131126353301"</f>
        <v>7073202410131126353301</v>
      </c>
      <c r="D1001" s="5" t="str">
        <f t="shared" si="23"/>
        <v>E2024095</v>
      </c>
      <c r="E1001" s="5" t="s">
        <v>33</v>
      </c>
      <c r="F1001" s="5" t="s">
        <v>34</v>
      </c>
      <c r="G1001" s="5"/>
    </row>
    <row r="1002" s="1" customFormat="1" ht="18" customHeight="1" spans="1:7">
      <c r="A1002" s="5">
        <v>1000</v>
      </c>
      <c r="B1002" s="5" t="str">
        <f>"熊怡"</f>
        <v>熊怡</v>
      </c>
      <c r="C1002" s="5" t="str">
        <f>"7073202410131205593337"</f>
        <v>7073202410131205593337</v>
      </c>
      <c r="D1002" s="5" t="str">
        <f t="shared" si="23"/>
        <v>E2024095</v>
      </c>
      <c r="E1002" s="5" t="s">
        <v>33</v>
      </c>
      <c r="F1002" s="5" t="s">
        <v>34</v>
      </c>
      <c r="G1002" s="5"/>
    </row>
    <row r="1003" s="1" customFormat="1" ht="18" customHeight="1" spans="1:7">
      <c r="A1003" s="5">
        <v>1001</v>
      </c>
      <c r="B1003" s="5" t="str">
        <f>"谭静雯"</f>
        <v>谭静雯</v>
      </c>
      <c r="C1003" s="5" t="str">
        <f>"7073202410131257083389"</f>
        <v>7073202410131257083389</v>
      </c>
      <c r="D1003" s="5" t="str">
        <f t="shared" si="23"/>
        <v>E2024095</v>
      </c>
      <c r="E1003" s="5" t="s">
        <v>33</v>
      </c>
      <c r="F1003" s="5" t="s">
        <v>34</v>
      </c>
      <c r="G1003" s="5"/>
    </row>
    <row r="1004" s="1" customFormat="1" ht="18" customHeight="1" spans="1:7">
      <c r="A1004" s="5">
        <v>1002</v>
      </c>
      <c r="B1004" s="5" t="str">
        <f>"喻淼"</f>
        <v>喻淼</v>
      </c>
      <c r="C1004" s="5" t="str">
        <f>"7073202410131000183215"</f>
        <v>7073202410131000183215</v>
      </c>
      <c r="D1004" s="5" t="str">
        <f t="shared" si="23"/>
        <v>E2024095</v>
      </c>
      <c r="E1004" s="5" t="s">
        <v>33</v>
      </c>
      <c r="F1004" s="5" t="s">
        <v>34</v>
      </c>
      <c r="G1004" s="5"/>
    </row>
    <row r="1005" s="1" customFormat="1" ht="18" customHeight="1" spans="1:7">
      <c r="A1005" s="5">
        <v>1003</v>
      </c>
      <c r="B1005" s="5" t="str">
        <f>"张琛"</f>
        <v>张琛</v>
      </c>
      <c r="C1005" s="5" t="str">
        <f>"7073202410131630293579"</f>
        <v>7073202410131630293579</v>
      </c>
      <c r="D1005" s="5" t="str">
        <f t="shared" si="23"/>
        <v>E2024095</v>
      </c>
      <c r="E1005" s="5" t="s">
        <v>33</v>
      </c>
      <c r="F1005" s="5" t="s">
        <v>34</v>
      </c>
      <c r="G1005" s="5"/>
    </row>
    <row r="1006" s="1" customFormat="1" ht="18" customHeight="1" spans="1:7">
      <c r="A1006" s="5">
        <v>1004</v>
      </c>
      <c r="B1006" s="5" t="str">
        <f>"孟娇"</f>
        <v>孟娇</v>
      </c>
      <c r="C1006" s="5" t="str">
        <f>"7073202410131703133610"</f>
        <v>7073202410131703133610</v>
      </c>
      <c r="D1006" s="5" t="str">
        <f t="shared" si="23"/>
        <v>E2024095</v>
      </c>
      <c r="E1006" s="5" t="s">
        <v>33</v>
      </c>
      <c r="F1006" s="5" t="s">
        <v>34</v>
      </c>
      <c r="G1006" s="5"/>
    </row>
    <row r="1007" s="1" customFormat="1" ht="18" customHeight="1" spans="1:7">
      <c r="A1007" s="5">
        <v>1005</v>
      </c>
      <c r="B1007" s="5" t="str">
        <f>"何艳"</f>
        <v>何艳</v>
      </c>
      <c r="C1007" s="5" t="str">
        <f>"7073202410131725433633"</f>
        <v>7073202410131725433633</v>
      </c>
      <c r="D1007" s="5" t="str">
        <f t="shared" si="23"/>
        <v>E2024095</v>
      </c>
      <c r="E1007" s="5" t="s">
        <v>33</v>
      </c>
      <c r="F1007" s="5" t="s">
        <v>34</v>
      </c>
      <c r="G1007" s="5"/>
    </row>
    <row r="1008" s="1" customFormat="1" ht="18" customHeight="1" spans="1:7">
      <c r="A1008" s="5">
        <v>1006</v>
      </c>
      <c r="B1008" s="5" t="str">
        <f>"张文强"</f>
        <v>张文强</v>
      </c>
      <c r="C1008" s="5" t="str">
        <f>"7073202410132134383848"</f>
        <v>7073202410132134383848</v>
      </c>
      <c r="D1008" s="5" t="str">
        <f t="shared" si="23"/>
        <v>E2024095</v>
      </c>
      <c r="E1008" s="5" t="s">
        <v>33</v>
      </c>
      <c r="F1008" s="5" t="s">
        <v>34</v>
      </c>
      <c r="G1008" s="5"/>
    </row>
    <row r="1009" s="1" customFormat="1" ht="18" customHeight="1" spans="1:7">
      <c r="A1009" s="5">
        <v>1007</v>
      </c>
      <c r="B1009" s="5" t="str">
        <f>"谭昊"</f>
        <v>谭昊</v>
      </c>
      <c r="C1009" s="5" t="str">
        <f>"7073202410141031144545"</f>
        <v>7073202410141031144545</v>
      </c>
      <c r="D1009" s="5" t="str">
        <f t="shared" si="23"/>
        <v>E2024095</v>
      </c>
      <c r="E1009" s="5" t="s">
        <v>33</v>
      </c>
      <c r="F1009" s="5" t="s">
        <v>34</v>
      </c>
      <c r="G1009" s="5"/>
    </row>
    <row r="1010" s="1" customFormat="1" ht="18" customHeight="1" spans="1:7">
      <c r="A1010" s="5">
        <v>1008</v>
      </c>
      <c r="B1010" s="5" t="str">
        <f>"李桥"</f>
        <v>李桥</v>
      </c>
      <c r="C1010" s="5" t="str">
        <f>"7073202410141053434676"</f>
        <v>7073202410141053434676</v>
      </c>
      <c r="D1010" s="5" t="str">
        <f t="shared" si="23"/>
        <v>E2024095</v>
      </c>
      <c r="E1010" s="5" t="s">
        <v>33</v>
      </c>
      <c r="F1010" s="5" t="s">
        <v>34</v>
      </c>
      <c r="G1010" s="5"/>
    </row>
    <row r="1011" s="1" customFormat="1" ht="18" customHeight="1" spans="1:7">
      <c r="A1011" s="5">
        <v>1009</v>
      </c>
      <c r="B1011" s="5" t="str">
        <f>"朱贇"</f>
        <v>朱贇</v>
      </c>
      <c r="C1011" s="5" t="str">
        <f>"7073202410141203394919"</f>
        <v>7073202410141203394919</v>
      </c>
      <c r="D1011" s="5" t="str">
        <f t="shared" si="23"/>
        <v>E2024095</v>
      </c>
      <c r="E1011" s="5" t="s">
        <v>33</v>
      </c>
      <c r="F1011" s="5" t="s">
        <v>34</v>
      </c>
      <c r="G1011" s="5"/>
    </row>
    <row r="1012" s="1" customFormat="1" ht="18" customHeight="1" spans="1:7">
      <c r="A1012" s="5">
        <v>1010</v>
      </c>
      <c r="B1012" s="5" t="str">
        <f>"张倩"</f>
        <v>张倩</v>
      </c>
      <c r="C1012" s="5" t="str">
        <f>"7073202410141219494953"</f>
        <v>7073202410141219494953</v>
      </c>
      <c r="D1012" s="5" t="str">
        <f t="shared" si="23"/>
        <v>E2024095</v>
      </c>
      <c r="E1012" s="5" t="s">
        <v>33</v>
      </c>
      <c r="F1012" s="5" t="s">
        <v>34</v>
      </c>
      <c r="G1012" s="5"/>
    </row>
    <row r="1013" s="1" customFormat="1" ht="18" customHeight="1" spans="1:7">
      <c r="A1013" s="5">
        <v>1011</v>
      </c>
      <c r="B1013" s="5" t="str">
        <f>"牟艳妮"</f>
        <v>牟艳妮</v>
      </c>
      <c r="C1013" s="5" t="str">
        <f>"7073202410141313445086"</f>
        <v>7073202410141313445086</v>
      </c>
      <c r="D1013" s="5" t="str">
        <f t="shared" si="23"/>
        <v>E2024095</v>
      </c>
      <c r="E1013" s="5" t="s">
        <v>33</v>
      </c>
      <c r="F1013" s="5" t="s">
        <v>34</v>
      </c>
      <c r="G1013" s="5"/>
    </row>
    <row r="1014" s="1" customFormat="1" ht="18" customHeight="1" spans="1:7">
      <c r="A1014" s="5">
        <v>1012</v>
      </c>
      <c r="B1014" s="5" t="str">
        <f>"谢喻玲"</f>
        <v>谢喻玲</v>
      </c>
      <c r="C1014" s="5" t="str">
        <f>"7073202410141444155276"</f>
        <v>7073202410141444155276</v>
      </c>
      <c r="D1014" s="5" t="str">
        <f t="shared" si="23"/>
        <v>E2024095</v>
      </c>
      <c r="E1014" s="5" t="s">
        <v>33</v>
      </c>
      <c r="F1014" s="5" t="s">
        <v>34</v>
      </c>
      <c r="G1014" s="5"/>
    </row>
    <row r="1015" s="1" customFormat="1" ht="18" customHeight="1" spans="1:7">
      <c r="A1015" s="5">
        <v>1013</v>
      </c>
      <c r="B1015" s="5" t="str">
        <f>"李静"</f>
        <v>李静</v>
      </c>
      <c r="C1015" s="5" t="str">
        <f>"7073202410141501155330"</f>
        <v>7073202410141501155330</v>
      </c>
      <c r="D1015" s="5" t="str">
        <f t="shared" si="23"/>
        <v>E2024095</v>
      </c>
      <c r="E1015" s="5" t="s">
        <v>33</v>
      </c>
      <c r="F1015" s="5" t="s">
        <v>34</v>
      </c>
      <c r="G1015" s="5"/>
    </row>
    <row r="1016" s="1" customFormat="1" ht="18" customHeight="1" spans="1:7">
      <c r="A1016" s="5">
        <v>1014</v>
      </c>
      <c r="B1016" s="5" t="str">
        <f>"覃冰清"</f>
        <v>覃冰清</v>
      </c>
      <c r="C1016" s="5" t="str">
        <f>"7073202410141318355094"</f>
        <v>7073202410141318355094</v>
      </c>
      <c r="D1016" s="5" t="str">
        <f t="shared" si="23"/>
        <v>E2024095</v>
      </c>
      <c r="E1016" s="5" t="s">
        <v>33</v>
      </c>
      <c r="F1016" s="5" t="s">
        <v>34</v>
      </c>
      <c r="G1016" s="5"/>
    </row>
    <row r="1017" s="1" customFormat="1" ht="18" customHeight="1" spans="1:7">
      <c r="A1017" s="5">
        <v>1015</v>
      </c>
      <c r="B1017" s="5" t="str">
        <f>"夏琴"</f>
        <v>夏琴</v>
      </c>
      <c r="C1017" s="5" t="str">
        <f>"7073202410141542145468"</f>
        <v>7073202410141542145468</v>
      </c>
      <c r="D1017" s="5" t="str">
        <f t="shared" si="23"/>
        <v>E2024095</v>
      </c>
      <c r="E1017" s="5" t="s">
        <v>33</v>
      </c>
      <c r="F1017" s="5" t="s">
        <v>34</v>
      </c>
      <c r="G1017" s="5"/>
    </row>
    <row r="1018" s="1" customFormat="1" ht="18" customHeight="1" spans="1:7">
      <c r="A1018" s="5">
        <v>1016</v>
      </c>
      <c r="B1018" s="5" t="str">
        <f>"蒋存"</f>
        <v>蒋存</v>
      </c>
      <c r="C1018" s="5" t="str">
        <f>"7073202410141656145685"</f>
        <v>7073202410141656145685</v>
      </c>
      <c r="D1018" s="5" t="str">
        <f t="shared" si="23"/>
        <v>E2024095</v>
      </c>
      <c r="E1018" s="5" t="s">
        <v>33</v>
      </c>
      <c r="F1018" s="5" t="s">
        <v>34</v>
      </c>
      <c r="G1018" s="5"/>
    </row>
    <row r="1019" s="1" customFormat="1" ht="18" customHeight="1" spans="1:7">
      <c r="A1019" s="5">
        <v>1017</v>
      </c>
      <c r="B1019" s="5" t="str">
        <f>"邓小天"</f>
        <v>邓小天</v>
      </c>
      <c r="C1019" s="5" t="str">
        <f>"7073202410141843565873"</f>
        <v>7073202410141843565873</v>
      </c>
      <c r="D1019" s="5" t="str">
        <f t="shared" si="23"/>
        <v>E2024095</v>
      </c>
      <c r="E1019" s="5" t="s">
        <v>33</v>
      </c>
      <c r="F1019" s="5" t="s">
        <v>34</v>
      </c>
      <c r="G1019" s="5"/>
    </row>
    <row r="1020" s="1" customFormat="1" ht="18" customHeight="1" spans="1:7">
      <c r="A1020" s="5">
        <v>1018</v>
      </c>
      <c r="B1020" s="5" t="str">
        <f>"孙健"</f>
        <v>孙健</v>
      </c>
      <c r="C1020" s="5" t="str">
        <f>"7073202410141814145824"</f>
        <v>7073202410141814145824</v>
      </c>
      <c r="D1020" s="5" t="str">
        <f t="shared" si="23"/>
        <v>E2024095</v>
      </c>
      <c r="E1020" s="5" t="s">
        <v>33</v>
      </c>
      <c r="F1020" s="5" t="s">
        <v>34</v>
      </c>
      <c r="G1020" s="5"/>
    </row>
    <row r="1021" s="1" customFormat="1" ht="18" customHeight="1" spans="1:7">
      <c r="A1021" s="5">
        <v>1019</v>
      </c>
      <c r="B1021" s="5" t="str">
        <f>"官文曲"</f>
        <v>官文曲</v>
      </c>
      <c r="C1021" s="5" t="str">
        <f>"7073202410141957276015"</f>
        <v>7073202410141957276015</v>
      </c>
      <c r="D1021" s="5" t="str">
        <f t="shared" si="23"/>
        <v>E2024095</v>
      </c>
      <c r="E1021" s="5" t="s">
        <v>33</v>
      </c>
      <c r="F1021" s="5" t="s">
        <v>34</v>
      </c>
      <c r="G1021" s="5"/>
    </row>
    <row r="1022" s="1" customFormat="1" ht="18" customHeight="1" spans="1:7">
      <c r="A1022" s="5">
        <v>1020</v>
      </c>
      <c r="B1022" s="5" t="str">
        <f>"吕晶华"</f>
        <v>吕晶华</v>
      </c>
      <c r="C1022" s="5" t="str">
        <f>"7073202410141947375991"</f>
        <v>7073202410141947375991</v>
      </c>
      <c r="D1022" s="5" t="str">
        <f t="shared" si="23"/>
        <v>E2024095</v>
      </c>
      <c r="E1022" s="5" t="s">
        <v>33</v>
      </c>
      <c r="F1022" s="5" t="s">
        <v>34</v>
      </c>
      <c r="G1022" s="5"/>
    </row>
    <row r="1023" s="1" customFormat="1" ht="18" customHeight="1" spans="1:7">
      <c r="A1023" s="5">
        <v>1021</v>
      </c>
      <c r="B1023" s="5" t="str">
        <f>"孟湘"</f>
        <v>孟湘</v>
      </c>
      <c r="C1023" s="5" t="str">
        <f>"7073202410142037376100"</f>
        <v>7073202410142037376100</v>
      </c>
      <c r="D1023" s="5" t="str">
        <f t="shared" si="23"/>
        <v>E2024095</v>
      </c>
      <c r="E1023" s="5" t="s">
        <v>33</v>
      </c>
      <c r="F1023" s="5" t="s">
        <v>34</v>
      </c>
      <c r="G1023" s="5"/>
    </row>
    <row r="1024" s="1" customFormat="1" ht="18" customHeight="1" spans="1:7">
      <c r="A1024" s="5">
        <v>1022</v>
      </c>
      <c r="B1024" s="5" t="str">
        <f>"谭明"</f>
        <v>谭明</v>
      </c>
      <c r="C1024" s="5" t="str">
        <f>"7073202410150909286605"</f>
        <v>7073202410150909286605</v>
      </c>
      <c r="D1024" s="5" t="str">
        <f t="shared" si="23"/>
        <v>E2024095</v>
      </c>
      <c r="E1024" s="5" t="s">
        <v>33</v>
      </c>
      <c r="F1024" s="5" t="s">
        <v>34</v>
      </c>
      <c r="G1024" s="5"/>
    </row>
    <row r="1025" s="1" customFormat="1" ht="18" customHeight="1" spans="1:7">
      <c r="A1025" s="5">
        <v>1023</v>
      </c>
      <c r="B1025" s="5" t="str">
        <f>"王欢"</f>
        <v>王欢</v>
      </c>
      <c r="C1025" s="5" t="str">
        <f>"7073202410151104097434"</f>
        <v>7073202410151104097434</v>
      </c>
      <c r="D1025" s="5" t="str">
        <f t="shared" si="23"/>
        <v>E2024095</v>
      </c>
      <c r="E1025" s="5" t="s">
        <v>33</v>
      </c>
      <c r="F1025" s="5" t="s">
        <v>34</v>
      </c>
      <c r="G1025" s="5"/>
    </row>
    <row r="1026" s="1" customFormat="1" ht="18" customHeight="1" spans="1:7">
      <c r="A1026" s="5">
        <v>1024</v>
      </c>
      <c r="B1026" s="5" t="str">
        <f>"朱家言"</f>
        <v>朱家言</v>
      </c>
      <c r="C1026" s="5" t="str">
        <f>"7073202410151408498144"</f>
        <v>7073202410151408498144</v>
      </c>
      <c r="D1026" s="5" t="str">
        <f t="shared" si="23"/>
        <v>E2024095</v>
      </c>
      <c r="E1026" s="5" t="s">
        <v>33</v>
      </c>
      <c r="F1026" s="5" t="s">
        <v>34</v>
      </c>
      <c r="G1026" s="5"/>
    </row>
    <row r="1027" s="1" customFormat="1" ht="18" customHeight="1" spans="1:7">
      <c r="A1027" s="5">
        <v>1025</v>
      </c>
      <c r="B1027" s="5" t="str">
        <f>"吴微"</f>
        <v>吴微</v>
      </c>
      <c r="C1027" s="5" t="str">
        <f>"7073202410151451398311"</f>
        <v>7073202410151451398311</v>
      </c>
      <c r="D1027" s="5" t="str">
        <f t="shared" si="23"/>
        <v>E2024095</v>
      </c>
      <c r="E1027" s="5" t="s">
        <v>33</v>
      </c>
      <c r="F1027" s="5" t="s">
        <v>34</v>
      </c>
      <c r="G1027" s="5"/>
    </row>
    <row r="1028" s="1" customFormat="1" ht="18" customHeight="1" spans="1:7">
      <c r="A1028" s="5">
        <v>1026</v>
      </c>
      <c r="B1028" s="5" t="str">
        <f>"田技灵"</f>
        <v>田技灵</v>
      </c>
      <c r="C1028" s="5" t="str">
        <f>"7073202410151405338133"</f>
        <v>7073202410151405338133</v>
      </c>
      <c r="D1028" s="5" t="str">
        <f t="shared" si="23"/>
        <v>E2024095</v>
      </c>
      <c r="E1028" s="5" t="s">
        <v>33</v>
      </c>
      <c r="F1028" s="5" t="s">
        <v>34</v>
      </c>
      <c r="G1028" s="5"/>
    </row>
    <row r="1029" s="1" customFormat="1" ht="18" customHeight="1" spans="1:7">
      <c r="A1029" s="5">
        <v>1027</v>
      </c>
      <c r="B1029" s="5" t="str">
        <f>"熊素玲"</f>
        <v>熊素玲</v>
      </c>
      <c r="C1029" s="5" t="str">
        <f>"7073202410151517508451"</f>
        <v>7073202410151517508451</v>
      </c>
      <c r="D1029" s="5" t="str">
        <f t="shared" si="23"/>
        <v>E2024095</v>
      </c>
      <c r="E1029" s="5" t="s">
        <v>33</v>
      </c>
      <c r="F1029" s="5" t="s">
        <v>34</v>
      </c>
      <c r="G1029" s="5"/>
    </row>
    <row r="1030" s="1" customFormat="1" ht="18" customHeight="1" spans="1:7">
      <c r="A1030" s="5">
        <v>1028</v>
      </c>
      <c r="B1030" s="5" t="str">
        <f>"周曦"</f>
        <v>周曦</v>
      </c>
      <c r="C1030" s="5" t="str">
        <f>"7073202410151920559325"</f>
        <v>7073202410151920559325</v>
      </c>
      <c r="D1030" s="5" t="str">
        <f t="shared" si="23"/>
        <v>E2024095</v>
      </c>
      <c r="E1030" s="5" t="s">
        <v>33</v>
      </c>
      <c r="F1030" s="5" t="s">
        <v>34</v>
      </c>
      <c r="G1030" s="5"/>
    </row>
    <row r="1031" s="1" customFormat="1" ht="18" customHeight="1" spans="1:7">
      <c r="A1031" s="5">
        <v>1029</v>
      </c>
      <c r="B1031" s="5" t="str">
        <f>"彭雪峰"</f>
        <v>彭雪峰</v>
      </c>
      <c r="C1031" s="5" t="str">
        <f>"70732024101610143311273"</f>
        <v>70732024101610143311273</v>
      </c>
      <c r="D1031" s="5" t="str">
        <f t="shared" si="23"/>
        <v>E2024095</v>
      </c>
      <c r="E1031" s="5" t="s">
        <v>33</v>
      </c>
      <c r="F1031" s="5" t="s">
        <v>34</v>
      </c>
      <c r="G1031" s="5"/>
    </row>
    <row r="1032" s="1" customFormat="1" ht="18" customHeight="1" spans="1:7">
      <c r="A1032" s="5">
        <v>1030</v>
      </c>
      <c r="B1032" s="5" t="str">
        <f>"谢来"</f>
        <v>谢来</v>
      </c>
      <c r="C1032" s="5" t="str">
        <f>"70732024101610362711424"</f>
        <v>70732024101610362711424</v>
      </c>
      <c r="D1032" s="5" t="str">
        <f t="shared" si="23"/>
        <v>E2024095</v>
      </c>
      <c r="E1032" s="5" t="s">
        <v>33</v>
      </c>
      <c r="F1032" s="5" t="s">
        <v>34</v>
      </c>
      <c r="G1032" s="5"/>
    </row>
    <row r="1033" s="1" customFormat="1" ht="18" customHeight="1" spans="1:7">
      <c r="A1033" s="5">
        <v>1031</v>
      </c>
      <c r="B1033" s="5" t="str">
        <f>"陈铖"</f>
        <v>陈铖</v>
      </c>
      <c r="C1033" s="5" t="str">
        <f>"70732024101613244312211"</f>
        <v>70732024101613244312211</v>
      </c>
      <c r="D1033" s="5" t="str">
        <f t="shared" si="23"/>
        <v>E2024095</v>
      </c>
      <c r="E1033" s="5" t="s">
        <v>33</v>
      </c>
      <c r="F1033" s="5" t="s">
        <v>34</v>
      </c>
      <c r="G1033" s="5"/>
    </row>
    <row r="1034" s="1" customFormat="1" ht="18" customHeight="1" spans="1:7">
      <c r="A1034" s="5">
        <v>1032</v>
      </c>
      <c r="B1034" s="5" t="str">
        <f>"刘东"</f>
        <v>刘东</v>
      </c>
      <c r="C1034" s="5" t="str">
        <f>"70732024101610185311299"</f>
        <v>70732024101610185311299</v>
      </c>
      <c r="D1034" s="5" t="str">
        <f t="shared" si="23"/>
        <v>E2024095</v>
      </c>
      <c r="E1034" s="5" t="s">
        <v>33</v>
      </c>
      <c r="F1034" s="5" t="s">
        <v>34</v>
      </c>
      <c r="G1034" s="5"/>
    </row>
    <row r="1035" s="1" customFormat="1" ht="18" customHeight="1" spans="1:7">
      <c r="A1035" s="5">
        <v>1033</v>
      </c>
      <c r="B1035" s="5" t="str">
        <f>"杨浩川"</f>
        <v>杨浩川</v>
      </c>
      <c r="C1035" s="5" t="str">
        <f>"70732024101619085114128"</f>
        <v>70732024101619085114128</v>
      </c>
      <c r="D1035" s="5" t="str">
        <f t="shared" si="23"/>
        <v>E2024095</v>
      </c>
      <c r="E1035" s="5" t="s">
        <v>33</v>
      </c>
      <c r="F1035" s="5" t="s">
        <v>34</v>
      </c>
      <c r="G1035" s="5"/>
    </row>
    <row r="1036" s="1" customFormat="1" ht="18" customHeight="1" spans="1:7">
      <c r="A1036" s="5">
        <v>1034</v>
      </c>
      <c r="B1036" s="5" t="str">
        <f>"张庭鹤"</f>
        <v>张庭鹤</v>
      </c>
      <c r="C1036" s="5" t="str">
        <f>"70732024101623212915252"</f>
        <v>70732024101623212915252</v>
      </c>
      <c r="D1036" s="5" t="str">
        <f t="shared" si="23"/>
        <v>E2024095</v>
      </c>
      <c r="E1036" s="5" t="s">
        <v>33</v>
      </c>
      <c r="F1036" s="5" t="s">
        <v>34</v>
      </c>
      <c r="G1036" s="5"/>
    </row>
    <row r="1037" s="1" customFormat="1" ht="18" customHeight="1" spans="1:7">
      <c r="A1037" s="5">
        <v>1035</v>
      </c>
      <c r="B1037" s="5" t="str">
        <f>"胡智方"</f>
        <v>胡智方</v>
      </c>
      <c r="C1037" s="5" t="str">
        <f>"70732024101714502218204"</f>
        <v>70732024101714502218204</v>
      </c>
      <c r="D1037" s="5" t="str">
        <f t="shared" si="23"/>
        <v>E2024095</v>
      </c>
      <c r="E1037" s="5" t="s">
        <v>33</v>
      </c>
      <c r="F1037" s="5" t="s">
        <v>34</v>
      </c>
      <c r="G1037" s="5"/>
    </row>
    <row r="1038" s="1" customFormat="1" ht="18" customHeight="1" spans="1:7">
      <c r="A1038" s="5">
        <v>1036</v>
      </c>
      <c r="B1038" s="5" t="str">
        <f>"向旖旎"</f>
        <v>向旖旎</v>
      </c>
      <c r="C1038" s="5" t="str">
        <f>"70732024101716515419170"</f>
        <v>70732024101716515419170</v>
      </c>
      <c r="D1038" s="5" t="str">
        <f t="shared" si="23"/>
        <v>E2024095</v>
      </c>
      <c r="E1038" s="5" t="s">
        <v>33</v>
      </c>
      <c r="F1038" s="5" t="s">
        <v>34</v>
      </c>
      <c r="G1038" s="5"/>
    </row>
    <row r="1039" s="1" customFormat="1" ht="18" customHeight="1" spans="1:7">
      <c r="A1039" s="5">
        <v>1037</v>
      </c>
      <c r="B1039" s="5" t="str">
        <f>"贺鑫"</f>
        <v>贺鑫</v>
      </c>
      <c r="C1039" s="5" t="str">
        <f>"70732024101720252020559"</f>
        <v>70732024101720252020559</v>
      </c>
      <c r="D1039" s="5" t="str">
        <f t="shared" ref="D1039:D1084" si="24">"E2024095"</f>
        <v>E2024095</v>
      </c>
      <c r="E1039" s="5" t="s">
        <v>33</v>
      </c>
      <c r="F1039" s="5" t="s">
        <v>34</v>
      </c>
      <c r="G1039" s="5"/>
    </row>
    <row r="1040" s="1" customFormat="1" ht="18" customHeight="1" spans="1:7">
      <c r="A1040" s="5">
        <v>1038</v>
      </c>
      <c r="B1040" s="5" t="str">
        <f>"秦椿雨"</f>
        <v>秦椿雨</v>
      </c>
      <c r="C1040" s="5" t="str">
        <f>"7073202410130005423121"</f>
        <v>7073202410130005423121</v>
      </c>
      <c r="D1040" s="5" t="str">
        <f t="shared" si="24"/>
        <v>E2024095</v>
      </c>
      <c r="E1040" s="5" t="s">
        <v>33</v>
      </c>
      <c r="F1040" s="5" t="s">
        <v>34</v>
      </c>
      <c r="G1040" s="5"/>
    </row>
    <row r="1041" s="1" customFormat="1" ht="18" customHeight="1" spans="1:7">
      <c r="A1041" s="5">
        <v>1039</v>
      </c>
      <c r="B1041" s="5" t="str">
        <f>"马林强"</f>
        <v>马林强</v>
      </c>
      <c r="C1041" s="5" t="str">
        <f>"70732024101812361923995"</f>
        <v>70732024101812361923995</v>
      </c>
      <c r="D1041" s="5" t="str">
        <f t="shared" si="24"/>
        <v>E2024095</v>
      </c>
      <c r="E1041" s="5" t="s">
        <v>33</v>
      </c>
      <c r="F1041" s="5" t="s">
        <v>34</v>
      </c>
      <c r="G1041" s="5"/>
    </row>
    <row r="1042" s="1" customFormat="1" ht="18" customHeight="1" spans="1:7">
      <c r="A1042" s="5">
        <v>1040</v>
      </c>
      <c r="B1042" s="5" t="str">
        <f>"陈帅"</f>
        <v>陈帅</v>
      </c>
      <c r="C1042" s="5" t="str">
        <f>"70732024101814020324390"</f>
        <v>70732024101814020324390</v>
      </c>
      <c r="D1042" s="5" t="str">
        <f t="shared" si="24"/>
        <v>E2024095</v>
      </c>
      <c r="E1042" s="5" t="s">
        <v>33</v>
      </c>
      <c r="F1042" s="5" t="s">
        <v>34</v>
      </c>
      <c r="G1042" s="5"/>
    </row>
    <row r="1043" s="1" customFormat="1" ht="18" customHeight="1" spans="1:7">
      <c r="A1043" s="5">
        <v>1041</v>
      </c>
      <c r="B1043" s="5" t="str">
        <f>"洪绍雨"</f>
        <v>洪绍雨</v>
      </c>
      <c r="C1043" s="5" t="str">
        <f>"70732024101909534628056"</f>
        <v>70732024101909534628056</v>
      </c>
      <c r="D1043" s="5" t="str">
        <f t="shared" si="24"/>
        <v>E2024095</v>
      </c>
      <c r="E1043" s="5" t="s">
        <v>33</v>
      </c>
      <c r="F1043" s="5" t="s">
        <v>34</v>
      </c>
      <c r="G1043" s="5"/>
    </row>
    <row r="1044" s="1" customFormat="1" ht="18" customHeight="1" spans="1:7">
      <c r="A1044" s="5">
        <v>1042</v>
      </c>
      <c r="B1044" s="5" t="str">
        <f>"陈仁淼"</f>
        <v>陈仁淼</v>
      </c>
      <c r="C1044" s="5" t="str">
        <f>"70732024101913331228720"</f>
        <v>70732024101913331228720</v>
      </c>
      <c r="D1044" s="5" t="str">
        <f t="shared" si="24"/>
        <v>E2024095</v>
      </c>
      <c r="E1044" s="5" t="s">
        <v>33</v>
      </c>
      <c r="F1044" s="5" t="s">
        <v>34</v>
      </c>
      <c r="G1044" s="5"/>
    </row>
    <row r="1045" s="1" customFormat="1" ht="18" customHeight="1" spans="1:7">
      <c r="A1045" s="5">
        <v>1043</v>
      </c>
      <c r="B1045" s="5" t="str">
        <f>"刘苏"</f>
        <v>刘苏</v>
      </c>
      <c r="C1045" s="5" t="str">
        <f>"70732024102009574230816"</f>
        <v>70732024102009574230816</v>
      </c>
      <c r="D1045" s="5" t="str">
        <f t="shared" si="24"/>
        <v>E2024095</v>
      </c>
      <c r="E1045" s="5" t="s">
        <v>33</v>
      </c>
      <c r="F1045" s="5" t="s">
        <v>34</v>
      </c>
      <c r="G1045" s="5"/>
    </row>
    <row r="1046" s="1" customFormat="1" ht="18" customHeight="1" spans="1:7">
      <c r="A1046" s="5">
        <v>1044</v>
      </c>
      <c r="B1046" s="5" t="str">
        <f>"邵治安"</f>
        <v>邵治安</v>
      </c>
      <c r="C1046" s="5" t="str">
        <f>"70732024102018565532421"</f>
        <v>70732024102018565532421</v>
      </c>
      <c r="D1046" s="5" t="str">
        <f t="shared" si="24"/>
        <v>E2024095</v>
      </c>
      <c r="E1046" s="5" t="s">
        <v>33</v>
      </c>
      <c r="F1046" s="5" t="s">
        <v>34</v>
      </c>
      <c r="G1046" s="5"/>
    </row>
    <row r="1047" s="1" customFormat="1" ht="18" customHeight="1" spans="1:7">
      <c r="A1047" s="5">
        <v>1045</v>
      </c>
      <c r="B1047" s="5" t="str">
        <f>"刘哲"</f>
        <v>刘哲</v>
      </c>
      <c r="C1047" s="5" t="str">
        <f>"70732024102109024034125"</f>
        <v>70732024102109024034125</v>
      </c>
      <c r="D1047" s="5" t="str">
        <f t="shared" si="24"/>
        <v>E2024095</v>
      </c>
      <c r="E1047" s="5" t="s">
        <v>33</v>
      </c>
      <c r="F1047" s="5" t="s">
        <v>34</v>
      </c>
      <c r="G1047" s="5"/>
    </row>
    <row r="1048" s="1" customFormat="1" ht="18" customHeight="1" spans="1:7">
      <c r="A1048" s="5">
        <v>1046</v>
      </c>
      <c r="B1048" s="5" t="str">
        <f>"万发江"</f>
        <v>万发江</v>
      </c>
      <c r="C1048" s="5" t="str">
        <f>"70732024102109485434947"</f>
        <v>70732024102109485434947</v>
      </c>
      <c r="D1048" s="5" t="str">
        <f t="shared" si="24"/>
        <v>E2024095</v>
      </c>
      <c r="E1048" s="5" t="s">
        <v>33</v>
      </c>
      <c r="F1048" s="5" t="s">
        <v>34</v>
      </c>
      <c r="G1048" s="5"/>
    </row>
    <row r="1049" s="1" customFormat="1" ht="18" customHeight="1" spans="1:7">
      <c r="A1049" s="5">
        <v>1047</v>
      </c>
      <c r="B1049" s="5" t="str">
        <f>"戴子淳"</f>
        <v>戴子淳</v>
      </c>
      <c r="C1049" s="5" t="str">
        <f>"70732024102001534330596"</f>
        <v>70732024102001534330596</v>
      </c>
      <c r="D1049" s="5" t="str">
        <f t="shared" si="24"/>
        <v>E2024095</v>
      </c>
      <c r="E1049" s="5" t="s">
        <v>33</v>
      </c>
      <c r="F1049" s="5" t="s">
        <v>34</v>
      </c>
      <c r="G1049" s="5"/>
    </row>
    <row r="1050" s="1" customFormat="1" ht="18" customHeight="1" spans="1:7">
      <c r="A1050" s="5">
        <v>1048</v>
      </c>
      <c r="B1050" s="5" t="str">
        <f>"宋桢涛"</f>
        <v>宋桢涛</v>
      </c>
      <c r="C1050" s="5" t="str">
        <f>"70732024101814502024691"</f>
        <v>70732024101814502024691</v>
      </c>
      <c r="D1050" s="5" t="str">
        <f t="shared" si="24"/>
        <v>E2024095</v>
      </c>
      <c r="E1050" s="5" t="s">
        <v>33</v>
      </c>
      <c r="F1050" s="5" t="s">
        <v>34</v>
      </c>
      <c r="G1050" s="5"/>
    </row>
    <row r="1051" s="1" customFormat="1" ht="18" customHeight="1" spans="1:7">
      <c r="A1051" s="5">
        <v>1049</v>
      </c>
      <c r="B1051" s="5" t="str">
        <f>"张娜"</f>
        <v>张娜</v>
      </c>
      <c r="C1051" s="5" t="str">
        <f>"70732024102117322940545"</f>
        <v>70732024102117322940545</v>
      </c>
      <c r="D1051" s="5" t="str">
        <f t="shared" si="24"/>
        <v>E2024095</v>
      </c>
      <c r="E1051" s="5" t="s">
        <v>33</v>
      </c>
      <c r="F1051" s="5" t="s">
        <v>34</v>
      </c>
      <c r="G1051" s="5"/>
    </row>
    <row r="1052" s="1" customFormat="1" ht="18" customHeight="1" spans="1:7">
      <c r="A1052" s="5">
        <v>1050</v>
      </c>
      <c r="B1052" s="5" t="str">
        <f>"郭海讴"</f>
        <v>郭海讴</v>
      </c>
      <c r="C1052" s="5" t="str">
        <f>"70732024102117163440362"</f>
        <v>70732024102117163440362</v>
      </c>
      <c r="D1052" s="5" t="str">
        <f t="shared" si="24"/>
        <v>E2024095</v>
      </c>
      <c r="E1052" s="5" t="s">
        <v>33</v>
      </c>
      <c r="F1052" s="5" t="s">
        <v>34</v>
      </c>
      <c r="G1052" s="5"/>
    </row>
    <row r="1053" s="1" customFormat="1" ht="18" customHeight="1" spans="1:7">
      <c r="A1053" s="5">
        <v>1051</v>
      </c>
      <c r="B1053" s="5" t="str">
        <f>"张祥"</f>
        <v>张祥</v>
      </c>
      <c r="C1053" s="5" t="str">
        <f>"70732024102119435341565"</f>
        <v>70732024102119435341565</v>
      </c>
      <c r="D1053" s="5" t="str">
        <f t="shared" si="24"/>
        <v>E2024095</v>
      </c>
      <c r="E1053" s="5" t="s">
        <v>33</v>
      </c>
      <c r="F1053" s="5" t="s">
        <v>34</v>
      </c>
      <c r="G1053" s="5"/>
    </row>
    <row r="1054" s="1" customFormat="1" ht="18" customHeight="1" spans="1:7">
      <c r="A1054" s="5">
        <v>1052</v>
      </c>
      <c r="B1054" s="5" t="str">
        <f>"向化珍"</f>
        <v>向化珍</v>
      </c>
      <c r="C1054" s="5" t="str">
        <f>"70732024102119274141425"</f>
        <v>70732024102119274141425</v>
      </c>
      <c r="D1054" s="5" t="str">
        <f t="shared" si="24"/>
        <v>E2024095</v>
      </c>
      <c r="E1054" s="5" t="s">
        <v>33</v>
      </c>
      <c r="F1054" s="5" t="s">
        <v>34</v>
      </c>
      <c r="G1054" s="5"/>
    </row>
    <row r="1055" s="1" customFormat="1" ht="18" customHeight="1" spans="1:7">
      <c r="A1055" s="5">
        <v>1053</v>
      </c>
      <c r="B1055" s="5" t="str">
        <f>"易金平"</f>
        <v>易金平</v>
      </c>
      <c r="C1055" s="5" t="str">
        <f>"70732024102023032433371"</f>
        <v>70732024102023032433371</v>
      </c>
      <c r="D1055" s="5" t="str">
        <f t="shared" si="24"/>
        <v>E2024095</v>
      </c>
      <c r="E1055" s="5" t="s">
        <v>33</v>
      </c>
      <c r="F1055" s="5" t="s">
        <v>34</v>
      </c>
      <c r="G1055" s="5"/>
    </row>
    <row r="1056" s="1" customFormat="1" ht="18" customHeight="1" spans="1:7">
      <c r="A1056" s="5">
        <v>1054</v>
      </c>
      <c r="B1056" s="5" t="str">
        <f>"廖蕊怡"</f>
        <v>廖蕊怡</v>
      </c>
      <c r="C1056" s="5" t="str">
        <f>"70732024102122593642882"</f>
        <v>70732024102122593642882</v>
      </c>
      <c r="D1056" s="5" t="str">
        <f t="shared" si="24"/>
        <v>E2024095</v>
      </c>
      <c r="E1056" s="5" t="s">
        <v>33</v>
      </c>
      <c r="F1056" s="5" t="s">
        <v>34</v>
      </c>
      <c r="G1056" s="5"/>
    </row>
    <row r="1057" s="1" customFormat="1" ht="18" customHeight="1" spans="1:7">
      <c r="A1057" s="5">
        <v>1055</v>
      </c>
      <c r="B1057" s="5" t="str">
        <f>"宁静"</f>
        <v>宁静</v>
      </c>
      <c r="C1057" s="5" t="str">
        <f>"70732024102210302244638"</f>
        <v>70732024102210302244638</v>
      </c>
      <c r="D1057" s="5" t="str">
        <f t="shared" si="24"/>
        <v>E2024095</v>
      </c>
      <c r="E1057" s="5" t="s">
        <v>33</v>
      </c>
      <c r="F1057" s="5" t="s">
        <v>34</v>
      </c>
      <c r="G1057" s="5"/>
    </row>
    <row r="1058" s="1" customFormat="1" ht="18" customHeight="1" spans="1:7">
      <c r="A1058" s="5">
        <v>1056</v>
      </c>
      <c r="B1058" s="5" t="str">
        <f>"陈桥"</f>
        <v>陈桥</v>
      </c>
      <c r="C1058" s="5" t="str">
        <f>"70732024102212352345780"</f>
        <v>70732024102212352345780</v>
      </c>
      <c r="D1058" s="5" t="str">
        <f t="shared" si="24"/>
        <v>E2024095</v>
      </c>
      <c r="E1058" s="5" t="s">
        <v>33</v>
      </c>
      <c r="F1058" s="5" t="s">
        <v>34</v>
      </c>
      <c r="G1058" s="5"/>
    </row>
    <row r="1059" s="1" customFormat="1" ht="18" customHeight="1" spans="1:7">
      <c r="A1059" s="5">
        <v>1057</v>
      </c>
      <c r="B1059" s="5" t="str">
        <f>"张帮洁"</f>
        <v>张帮洁</v>
      </c>
      <c r="C1059" s="5" t="str">
        <f>"7073202410152106579866"</f>
        <v>7073202410152106579866</v>
      </c>
      <c r="D1059" s="5" t="str">
        <f t="shared" si="24"/>
        <v>E2024095</v>
      </c>
      <c r="E1059" s="5" t="s">
        <v>33</v>
      </c>
      <c r="F1059" s="5" t="s">
        <v>34</v>
      </c>
      <c r="G1059" s="5"/>
    </row>
    <row r="1060" s="1" customFormat="1" ht="18" customHeight="1" spans="1:7">
      <c r="A1060" s="5">
        <v>1058</v>
      </c>
      <c r="B1060" s="5" t="str">
        <f>"谭阳"</f>
        <v>谭阳</v>
      </c>
      <c r="C1060" s="5" t="str">
        <f>"70732024102216534247846"</f>
        <v>70732024102216534247846</v>
      </c>
      <c r="D1060" s="5" t="str">
        <f t="shared" si="24"/>
        <v>E2024095</v>
      </c>
      <c r="E1060" s="5" t="s">
        <v>33</v>
      </c>
      <c r="F1060" s="5" t="s">
        <v>34</v>
      </c>
      <c r="G1060" s="5"/>
    </row>
    <row r="1061" s="1" customFormat="1" ht="18" customHeight="1" spans="1:7">
      <c r="A1061" s="5">
        <v>1059</v>
      </c>
      <c r="B1061" s="5" t="str">
        <f>"陈文浩"</f>
        <v>陈文浩</v>
      </c>
      <c r="C1061" s="5" t="str">
        <f>"70732024102217045547920"</f>
        <v>70732024102217045547920</v>
      </c>
      <c r="D1061" s="5" t="str">
        <f t="shared" si="24"/>
        <v>E2024095</v>
      </c>
      <c r="E1061" s="5" t="s">
        <v>33</v>
      </c>
      <c r="F1061" s="5" t="s">
        <v>34</v>
      </c>
      <c r="G1061" s="5"/>
    </row>
    <row r="1062" s="1" customFormat="1" ht="18" customHeight="1" spans="1:7">
      <c r="A1062" s="5">
        <v>1060</v>
      </c>
      <c r="B1062" s="5" t="str">
        <f>"康郁鑫"</f>
        <v>康郁鑫</v>
      </c>
      <c r="C1062" s="5" t="str">
        <f>"70732024102218182048446"</f>
        <v>70732024102218182048446</v>
      </c>
      <c r="D1062" s="5" t="str">
        <f t="shared" si="24"/>
        <v>E2024095</v>
      </c>
      <c r="E1062" s="5" t="s">
        <v>33</v>
      </c>
      <c r="F1062" s="5" t="s">
        <v>34</v>
      </c>
      <c r="G1062" s="5"/>
    </row>
    <row r="1063" s="1" customFormat="1" ht="18" customHeight="1" spans="1:7">
      <c r="A1063" s="5">
        <v>1061</v>
      </c>
      <c r="B1063" s="5" t="str">
        <f>"叶晓峰"</f>
        <v>叶晓峰</v>
      </c>
      <c r="C1063" s="5" t="str">
        <f>"70732024102220251149294"</f>
        <v>70732024102220251149294</v>
      </c>
      <c r="D1063" s="5" t="str">
        <f t="shared" si="24"/>
        <v>E2024095</v>
      </c>
      <c r="E1063" s="5" t="s">
        <v>33</v>
      </c>
      <c r="F1063" s="5" t="s">
        <v>34</v>
      </c>
      <c r="G1063" s="5"/>
    </row>
    <row r="1064" s="1" customFormat="1" ht="18" customHeight="1" spans="1:7">
      <c r="A1064" s="5">
        <v>1062</v>
      </c>
      <c r="B1064" s="5" t="str">
        <f>"陈金娥"</f>
        <v>陈金娥</v>
      </c>
      <c r="C1064" s="5" t="str">
        <f>"70732024102208533643506"</f>
        <v>70732024102208533643506</v>
      </c>
      <c r="D1064" s="5" t="str">
        <f t="shared" si="24"/>
        <v>E2024095</v>
      </c>
      <c r="E1064" s="5" t="s">
        <v>33</v>
      </c>
      <c r="F1064" s="5" t="s">
        <v>34</v>
      </c>
      <c r="G1064" s="5"/>
    </row>
    <row r="1065" s="1" customFormat="1" ht="18" customHeight="1" spans="1:7">
      <c r="A1065" s="5">
        <v>1063</v>
      </c>
      <c r="B1065" s="5" t="str">
        <f>"陈泽辉"</f>
        <v>陈泽辉</v>
      </c>
      <c r="C1065" s="5" t="str">
        <f>"70732024102310143752926"</f>
        <v>70732024102310143752926</v>
      </c>
      <c r="D1065" s="5" t="str">
        <f t="shared" si="24"/>
        <v>E2024095</v>
      </c>
      <c r="E1065" s="5" t="s">
        <v>33</v>
      </c>
      <c r="F1065" s="5" t="s">
        <v>34</v>
      </c>
      <c r="G1065" s="5"/>
    </row>
    <row r="1066" s="1" customFormat="1" ht="18" customHeight="1" spans="1:7">
      <c r="A1066" s="5">
        <v>1064</v>
      </c>
      <c r="B1066" s="5" t="str">
        <f>"黄玲"</f>
        <v>黄玲</v>
      </c>
      <c r="C1066" s="5" t="str">
        <f>"7073202410151015057119"</f>
        <v>7073202410151015057119</v>
      </c>
      <c r="D1066" s="5" t="str">
        <f t="shared" si="24"/>
        <v>E2024095</v>
      </c>
      <c r="E1066" s="5" t="s">
        <v>33</v>
      </c>
      <c r="F1066" s="5" t="s">
        <v>34</v>
      </c>
      <c r="G1066" s="5"/>
    </row>
    <row r="1067" s="1" customFormat="1" ht="18" customHeight="1" spans="1:7">
      <c r="A1067" s="5">
        <v>1065</v>
      </c>
      <c r="B1067" s="5" t="str">
        <f>"杨卓"</f>
        <v>杨卓</v>
      </c>
      <c r="C1067" s="5" t="str">
        <f>"70732024102310555153884"</f>
        <v>70732024102310555153884</v>
      </c>
      <c r="D1067" s="5" t="str">
        <f t="shared" si="24"/>
        <v>E2024095</v>
      </c>
      <c r="E1067" s="5" t="s">
        <v>33</v>
      </c>
      <c r="F1067" s="5" t="s">
        <v>34</v>
      </c>
      <c r="G1067" s="5"/>
    </row>
    <row r="1068" s="1" customFormat="1" ht="18" customHeight="1" spans="1:7">
      <c r="A1068" s="5">
        <v>1066</v>
      </c>
      <c r="B1068" s="5" t="str">
        <f>"刘颜"</f>
        <v>刘颜</v>
      </c>
      <c r="C1068" s="5" t="str">
        <f>"70732024102313175655751"</f>
        <v>70732024102313175655751</v>
      </c>
      <c r="D1068" s="5" t="str">
        <f t="shared" si="24"/>
        <v>E2024095</v>
      </c>
      <c r="E1068" s="5" t="s">
        <v>33</v>
      </c>
      <c r="F1068" s="5" t="s">
        <v>34</v>
      </c>
      <c r="G1068" s="5"/>
    </row>
    <row r="1069" s="1" customFormat="1" ht="18" customHeight="1" spans="1:7">
      <c r="A1069" s="5">
        <v>1067</v>
      </c>
      <c r="B1069" s="5" t="str">
        <f>"郭登娥"</f>
        <v>郭登娥</v>
      </c>
      <c r="C1069" s="5" t="str">
        <f>"70732024101710574616616"</f>
        <v>70732024101710574616616</v>
      </c>
      <c r="D1069" s="5" t="str">
        <f t="shared" si="24"/>
        <v>E2024095</v>
      </c>
      <c r="E1069" s="5" t="s">
        <v>33</v>
      </c>
      <c r="F1069" s="5" t="s">
        <v>34</v>
      </c>
      <c r="G1069" s="5"/>
    </row>
    <row r="1070" s="1" customFormat="1" ht="18" customHeight="1" spans="1:7">
      <c r="A1070" s="5">
        <v>1068</v>
      </c>
      <c r="B1070" s="5" t="str">
        <f>"刘群艳"</f>
        <v>刘群艳</v>
      </c>
      <c r="C1070" s="5" t="str">
        <f>"70732024102320491561139"</f>
        <v>70732024102320491561139</v>
      </c>
      <c r="D1070" s="5" t="str">
        <f t="shared" si="24"/>
        <v>E2024095</v>
      </c>
      <c r="E1070" s="5" t="s">
        <v>33</v>
      </c>
      <c r="F1070" s="5" t="s">
        <v>34</v>
      </c>
      <c r="G1070" s="5"/>
    </row>
    <row r="1071" s="1" customFormat="1" ht="18" customHeight="1" spans="1:7">
      <c r="A1071" s="5">
        <v>1069</v>
      </c>
      <c r="B1071" s="5" t="str">
        <f>"尚庭鋆"</f>
        <v>尚庭鋆</v>
      </c>
      <c r="C1071" s="5" t="str">
        <f>"70732024102321533161893"</f>
        <v>70732024102321533161893</v>
      </c>
      <c r="D1071" s="5" t="str">
        <f t="shared" si="24"/>
        <v>E2024095</v>
      </c>
      <c r="E1071" s="5" t="s">
        <v>33</v>
      </c>
      <c r="F1071" s="5" t="s">
        <v>34</v>
      </c>
      <c r="G1071" s="5"/>
    </row>
    <row r="1072" s="1" customFormat="1" ht="18" customHeight="1" spans="1:7">
      <c r="A1072" s="5">
        <v>1070</v>
      </c>
      <c r="B1072" s="5" t="str">
        <f>"黄亚琦"</f>
        <v>黄亚琦</v>
      </c>
      <c r="C1072" s="5" t="str">
        <f>"70732024102322382862372"</f>
        <v>70732024102322382862372</v>
      </c>
      <c r="D1072" s="5" t="str">
        <f t="shared" si="24"/>
        <v>E2024095</v>
      </c>
      <c r="E1072" s="5" t="s">
        <v>33</v>
      </c>
      <c r="F1072" s="5" t="s">
        <v>34</v>
      </c>
      <c r="G1072" s="5"/>
    </row>
    <row r="1073" s="1" customFormat="1" ht="18" customHeight="1" spans="1:7">
      <c r="A1073" s="5">
        <v>1071</v>
      </c>
      <c r="B1073" s="5" t="str">
        <f>"蒋紫怡"</f>
        <v>蒋紫怡</v>
      </c>
      <c r="C1073" s="5" t="str">
        <f>"70732024102410522865226"</f>
        <v>70732024102410522865226</v>
      </c>
      <c r="D1073" s="5" t="str">
        <f t="shared" si="24"/>
        <v>E2024095</v>
      </c>
      <c r="E1073" s="5" t="s">
        <v>33</v>
      </c>
      <c r="F1073" s="5" t="s">
        <v>34</v>
      </c>
      <c r="G1073" s="5"/>
    </row>
    <row r="1074" s="1" customFormat="1" ht="18" customHeight="1" spans="1:7">
      <c r="A1074" s="5">
        <v>1072</v>
      </c>
      <c r="B1074" s="5" t="str">
        <f>"何家乐"</f>
        <v>何家乐</v>
      </c>
      <c r="C1074" s="5" t="str">
        <f>"70732024102411092465450"</f>
        <v>70732024102411092465450</v>
      </c>
      <c r="D1074" s="5" t="str">
        <f t="shared" si="24"/>
        <v>E2024095</v>
      </c>
      <c r="E1074" s="5" t="s">
        <v>33</v>
      </c>
      <c r="F1074" s="5" t="s">
        <v>34</v>
      </c>
      <c r="G1074" s="5"/>
    </row>
    <row r="1075" s="1" customFormat="1" ht="18" customHeight="1" spans="1:7">
      <c r="A1075" s="5">
        <v>1073</v>
      </c>
      <c r="B1075" s="5" t="str">
        <f>"周为安"</f>
        <v>周为安</v>
      </c>
      <c r="C1075" s="5" t="str">
        <f>"70732024102412101566033"</f>
        <v>70732024102412101566033</v>
      </c>
      <c r="D1075" s="5" t="str">
        <f t="shared" si="24"/>
        <v>E2024095</v>
      </c>
      <c r="E1075" s="5" t="s">
        <v>33</v>
      </c>
      <c r="F1075" s="5" t="s">
        <v>34</v>
      </c>
      <c r="G1075" s="5"/>
    </row>
    <row r="1076" s="1" customFormat="1" ht="18" customHeight="1" spans="1:7">
      <c r="A1076" s="5">
        <v>1074</v>
      </c>
      <c r="B1076" s="5" t="str">
        <f>"王硕"</f>
        <v>王硕</v>
      </c>
      <c r="C1076" s="5" t="str">
        <f>"70732024102416385268760"</f>
        <v>70732024102416385268760</v>
      </c>
      <c r="D1076" s="5" t="str">
        <f t="shared" si="24"/>
        <v>E2024095</v>
      </c>
      <c r="E1076" s="5" t="s">
        <v>33</v>
      </c>
      <c r="F1076" s="5" t="s">
        <v>34</v>
      </c>
      <c r="G1076" s="5"/>
    </row>
    <row r="1077" s="1" customFormat="1" ht="18" customHeight="1" spans="1:7">
      <c r="A1077" s="5">
        <v>1075</v>
      </c>
      <c r="B1077" s="5" t="str">
        <f>"黄静"</f>
        <v>黄静</v>
      </c>
      <c r="C1077" s="5" t="str">
        <f>"70732024102418500069948"</f>
        <v>70732024102418500069948</v>
      </c>
      <c r="D1077" s="5" t="str">
        <f t="shared" si="24"/>
        <v>E2024095</v>
      </c>
      <c r="E1077" s="5" t="s">
        <v>33</v>
      </c>
      <c r="F1077" s="5" t="s">
        <v>34</v>
      </c>
      <c r="G1077" s="5"/>
    </row>
    <row r="1078" s="1" customFormat="1" ht="18" customHeight="1" spans="1:7">
      <c r="A1078" s="5">
        <v>1076</v>
      </c>
      <c r="B1078" s="5" t="str">
        <f>"李红艳"</f>
        <v>李红艳</v>
      </c>
      <c r="C1078" s="5" t="str">
        <f>"70732024102421511671635"</f>
        <v>70732024102421511671635</v>
      </c>
      <c r="D1078" s="5" t="str">
        <f t="shared" si="24"/>
        <v>E2024095</v>
      </c>
      <c r="E1078" s="5" t="s">
        <v>33</v>
      </c>
      <c r="F1078" s="5" t="s">
        <v>34</v>
      </c>
      <c r="G1078" s="5"/>
    </row>
    <row r="1079" s="1" customFormat="1" ht="18" customHeight="1" spans="1:7">
      <c r="A1079" s="5">
        <v>1077</v>
      </c>
      <c r="B1079" s="5" t="str">
        <f>"屈小清"</f>
        <v>屈小清</v>
      </c>
      <c r="C1079" s="5" t="str">
        <f>"70732024102423015572223"</f>
        <v>70732024102423015572223</v>
      </c>
      <c r="D1079" s="5" t="str">
        <f t="shared" si="24"/>
        <v>E2024095</v>
      </c>
      <c r="E1079" s="5" t="s">
        <v>33</v>
      </c>
      <c r="F1079" s="5" t="s">
        <v>34</v>
      </c>
      <c r="G1079" s="5"/>
    </row>
    <row r="1080" s="1" customFormat="1" ht="18" customHeight="1" spans="1:7">
      <c r="A1080" s="5">
        <v>1078</v>
      </c>
      <c r="B1080" s="5" t="str">
        <f>"冉艳莉"</f>
        <v>冉艳莉</v>
      </c>
      <c r="C1080" s="5" t="str">
        <f>"70732024102423564372516"</f>
        <v>70732024102423564372516</v>
      </c>
      <c r="D1080" s="5" t="str">
        <f t="shared" si="24"/>
        <v>E2024095</v>
      </c>
      <c r="E1080" s="5" t="s">
        <v>33</v>
      </c>
      <c r="F1080" s="5" t="s">
        <v>34</v>
      </c>
      <c r="G1080" s="5"/>
    </row>
    <row r="1081" s="1" customFormat="1" ht="18" customHeight="1" spans="1:7">
      <c r="A1081" s="5">
        <v>1079</v>
      </c>
      <c r="B1081" s="5" t="str">
        <f>"谭阳"</f>
        <v>谭阳</v>
      </c>
      <c r="C1081" s="5" t="str">
        <f>"70732024102511052574537"</f>
        <v>70732024102511052574537</v>
      </c>
      <c r="D1081" s="5" t="str">
        <f t="shared" si="24"/>
        <v>E2024095</v>
      </c>
      <c r="E1081" s="5" t="s">
        <v>33</v>
      </c>
      <c r="F1081" s="5" t="s">
        <v>34</v>
      </c>
      <c r="G1081" s="5"/>
    </row>
    <row r="1082" s="1" customFormat="1" ht="18" customHeight="1" spans="1:7">
      <c r="A1082" s="5">
        <v>1080</v>
      </c>
      <c r="B1082" s="5" t="str">
        <f>"李鑫"</f>
        <v>李鑫</v>
      </c>
      <c r="C1082" s="5" t="str">
        <f>"70732024102511221574722"</f>
        <v>70732024102511221574722</v>
      </c>
      <c r="D1082" s="5" t="str">
        <f t="shared" si="24"/>
        <v>E2024095</v>
      </c>
      <c r="E1082" s="5" t="s">
        <v>33</v>
      </c>
      <c r="F1082" s="5" t="s">
        <v>34</v>
      </c>
      <c r="G1082" s="5"/>
    </row>
    <row r="1083" s="1" customFormat="1" ht="18" customHeight="1" spans="1:7">
      <c r="A1083" s="5">
        <v>1081</v>
      </c>
      <c r="B1083" s="5" t="str">
        <f>"张涛"</f>
        <v>张涛</v>
      </c>
      <c r="C1083" s="5" t="str">
        <f>"70732024102115331739009"</f>
        <v>70732024102115331739009</v>
      </c>
      <c r="D1083" s="5" t="str">
        <f t="shared" si="24"/>
        <v>E2024095</v>
      </c>
      <c r="E1083" s="5" t="s">
        <v>33</v>
      </c>
      <c r="F1083" s="5" t="s">
        <v>34</v>
      </c>
      <c r="G1083" s="5"/>
    </row>
    <row r="1084" s="1" customFormat="1" ht="18" customHeight="1" spans="1:7">
      <c r="A1084" s="5">
        <v>1082</v>
      </c>
      <c r="B1084" s="5" t="str">
        <f>"邓仕焱"</f>
        <v>邓仕焱</v>
      </c>
      <c r="C1084" s="5" t="str">
        <f>"70732024102515021976677"</f>
        <v>70732024102515021976677</v>
      </c>
      <c r="D1084" s="5" t="str">
        <f t="shared" si="24"/>
        <v>E2024095</v>
      </c>
      <c r="E1084" s="5" t="s">
        <v>33</v>
      </c>
      <c r="F1084" s="5" t="s">
        <v>34</v>
      </c>
      <c r="G1084" s="5"/>
    </row>
    <row r="1085" s="1" customFormat="1" ht="18" customHeight="1" spans="1:7">
      <c r="A1085" s="5">
        <v>1083</v>
      </c>
      <c r="B1085" s="5" t="str">
        <f>"杨承军"</f>
        <v>杨承军</v>
      </c>
      <c r="C1085" s="5" t="str">
        <f>"7073202410120908551517"</f>
        <v>7073202410120908551517</v>
      </c>
      <c r="D1085" s="5" t="str">
        <f t="shared" ref="D1085:D1148" si="25">"E2024096"</f>
        <v>E2024096</v>
      </c>
      <c r="E1085" s="5" t="s">
        <v>23</v>
      </c>
      <c r="F1085" s="5" t="s">
        <v>35</v>
      </c>
      <c r="G1085" s="5"/>
    </row>
    <row r="1086" s="1" customFormat="1" ht="18" customHeight="1" spans="1:7">
      <c r="A1086" s="5">
        <v>1084</v>
      </c>
      <c r="B1086" s="5" t="str">
        <f>"黄昊"</f>
        <v>黄昊</v>
      </c>
      <c r="C1086" s="5" t="str">
        <f>"7073202410120926281594"</f>
        <v>7073202410120926281594</v>
      </c>
      <c r="D1086" s="5" t="str">
        <f t="shared" si="25"/>
        <v>E2024096</v>
      </c>
      <c r="E1086" s="5" t="s">
        <v>23</v>
      </c>
      <c r="F1086" s="5" t="s">
        <v>35</v>
      </c>
      <c r="G1086" s="5"/>
    </row>
    <row r="1087" s="1" customFormat="1" ht="18" customHeight="1" spans="1:7">
      <c r="A1087" s="5">
        <v>1085</v>
      </c>
      <c r="B1087" s="5" t="str">
        <f>"彭锴"</f>
        <v>彭锴</v>
      </c>
      <c r="C1087" s="5" t="str">
        <f>"7073202410120947431674"</f>
        <v>7073202410120947431674</v>
      </c>
      <c r="D1087" s="5" t="str">
        <f t="shared" si="25"/>
        <v>E2024096</v>
      </c>
      <c r="E1087" s="5" t="s">
        <v>23</v>
      </c>
      <c r="F1087" s="5" t="s">
        <v>35</v>
      </c>
      <c r="G1087" s="5"/>
    </row>
    <row r="1088" s="1" customFormat="1" ht="18" customHeight="1" spans="1:7">
      <c r="A1088" s="5">
        <v>1086</v>
      </c>
      <c r="B1088" s="5" t="str">
        <f>"张隆祥"</f>
        <v>张隆祥</v>
      </c>
      <c r="C1088" s="5" t="str">
        <f>"7073202410121030371844"</f>
        <v>7073202410121030371844</v>
      </c>
      <c r="D1088" s="5" t="str">
        <f t="shared" si="25"/>
        <v>E2024096</v>
      </c>
      <c r="E1088" s="5" t="s">
        <v>23</v>
      </c>
      <c r="F1088" s="5" t="s">
        <v>35</v>
      </c>
      <c r="G1088" s="5"/>
    </row>
    <row r="1089" s="1" customFormat="1" ht="18" customHeight="1" spans="1:7">
      <c r="A1089" s="5">
        <v>1087</v>
      </c>
      <c r="B1089" s="5" t="str">
        <f>"江烨"</f>
        <v>江烨</v>
      </c>
      <c r="C1089" s="5" t="str">
        <f>"7073202410121054421924"</f>
        <v>7073202410121054421924</v>
      </c>
      <c r="D1089" s="5" t="str">
        <f t="shared" si="25"/>
        <v>E2024096</v>
      </c>
      <c r="E1089" s="5" t="s">
        <v>23</v>
      </c>
      <c r="F1089" s="5" t="s">
        <v>35</v>
      </c>
      <c r="G1089" s="5"/>
    </row>
    <row r="1090" s="1" customFormat="1" ht="18" customHeight="1" spans="1:7">
      <c r="A1090" s="5">
        <v>1088</v>
      </c>
      <c r="B1090" s="5" t="str">
        <f>"向丽英"</f>
        <v>向丽英</v>
      </c>
      <c r="C1090" s="5" t="str">
        <f>"7073202410121116141985"</f>
        <v>7073202410121116141985</v>
      </c>
      <c r="D1090" s="5" t="str">
        <f t="shared" si="25"/>
        <v>E2024096</v>
      </c>
      <c r="E1090" s="5" t="s">
        <v>23</v>
      </c>
      <c r="F1090" s="5" t="s">
        <v>35</v>
      </c>
      <c r="G1090" s="5"/>
    </row>
    <row r="1091" s="1" customFormat="1" ht="18" customHeight="1" spans="1:7">
      <c r="A1091" s="5">
        <v>1089</v>
      </c>
      <c r="B1091" s="5" t="str">
        <f>"熊书平"</f>
        <v>熊书平</v>
      </c>
      <c r="C1091" s="5" t="str">
        <f>"7073202410121548502552"</f>
        <v>7073202410121548502552</v>
      </c>
      <c r="D1091" s="5" t="str">
        <f t="shared" si="25"/>
        <v>E2024096</v>
      </c>
      <c r="E1091" s="5" t="s">
        <v>23</v>
      </c>
      <c r="F1091" s="5" t="s">
        <v>35</v>
      </c>
      <c r="G1091" s="5"/>
    </row>
    <row r="1092" s="1" customFormat="1" ht="18" customHeight="1" spans="1:7">
      <c r="A1092" s="5">
        <v>1090</v>
      </c>
      <c r="B1092" s="5" t="str">
        <f>"谷成珍"</f>
        <v>谷成珍</v>
      </c>
      <c r="C1092" s="5" t="str">
        <f>"7073202410121836182820"</f>
        <v>7073202410121836182820</v>
      </c>
      <c r="D1092" s="5" t="str">
        <f t="shared" si="25"/>
        <v>E2024096</v>
      </c>
      <c r="E1092" s="5" t="s">
        <v>23</v>
      </c>
      <c r="F1092" s="5" t="s">
        <v>35</v>
      </c>
      <c r="G1092" s="5"/>
    </row>
    <row r="1093" s="1" customFormat="1" ht="18" customHeight="1" spans="1:7">
      <c r="A1093" s="5">
        <v>1091</v>
      </c>
      <c r="B1093" s="5" t="str">
        <f>"雷豪"</f>
        <v>雷豪</v>
      </c>
      <c r="C1093" s="5" t="str">
        <f>"7073202410122005472932"</f>
        <v>7073202410122005472932</v>
      </c>
      <c r="D1093" s="5" t="str">
        <f t="shared" si="25"/>
        <v>E2024096</v>
      </c>
      <c r="E1093" s="5" t="s">
        <v>23</v>
      </c>
      <c r="F1093" s="5" t="s">
        <v>35</v>
      </c>
      <c r="G1093" s="5"/>
    </row>
    <row r="1094" s="1" customFormat="1" ht="18" customHeight="1" spans="1:7">
      <c r="A1094" s="5">
        <v>1092</v>
      </c>
      <c r="B1094" s="5" t="str">
        <f>"喻杨秋思"</f>
        <v>喻杨秋思</v>
      </c>
      <c r="C1094" s="5" t="str">
        <f>"7073202410121026431831"</f>
        <v>7073202410121026431831</v>
      </c>
      <c r="D1094" s="5" t="str">
        <f t="shared" si="25"/>
        <v>E2024096</v>
      </c>
      <c r="E1094" s="5" t="s">
        <v>23</v>
      </c>
      <c r="F1094" s="5" t="s">
        <v>35</v>
      </c>
      <c r="G1094" s="5"/>
    </row>
    <row r="1095" s="1" customFormat="1" ht="18" customHeight="1" spans="1:7">
      <c r="A1095" s="5">
        <v>1093</v>
      </c>
      <c r="B1095" s="5" t="str">
        <f>"张雨"</f>
        <v>张雨</v>
      </c>
      <c r="C1095" s="5" t="str">
        <f>"7073202410121549252556"</f>
        <v>7073202410121549252556</v>
      </c>
      <c r="D1095" s="5" t="str">
        <f t="shared" si="25"/>
        <v>E2024096</v>
      </c>
      <c r="E1095" s="5" t="s">
        <v>23</v>
      </c>
      <c r="F1095" s="5" t="s">
        <v>35</v>
      </c>
      <c r="G1095" s="5"/>
    </row>
    <row r="1096" s="1" customFormat="1" ht="18" customHeight="1" spans="1:7">
      <c r="A1096" s="5">
        <v>1094</v>
      </c>
      <c r="B1096" s="5" t="str">
        <f>"王璐"</f>
        <v>王璐</v>
      </c>
      <c r="C1096" s="5" t="str">
        <f>"7073202410131603203552"</f>
        <v>7073202410131603203552</v>
      </c>
      <c r="D1096" s="5" t="str">
        <f t="shared" si="25"/>
        <v>E2024096</v>
      </c>
      <c r="E1096" s="5" t="s">
        <v>23</v>
      </c>
      <c r="F1096" s="5" t="s">
        <v>35</v>
      </c>
      <c r="G1096" s="5"/>
    </row>
    <row r="1097" s="1" customFormat="1" ht="18" customHeight="1" spans="1:7">
      <c r="A1097" s="5">
        <v>1095</v>
      </c>
      <c r="B1097" s="5" t="str">
        <f>"伍易"</f>
        <v>伍易</v>
      </c>
      <c r="C1097" s="5" t="str">
        <f>"7073202410131623513572"</f>
        <v>7073202410131623513572</v>
      </c>
      <c r="D1097" s="5" t="str">
        <f t="shared" si="25"/>
        <v>E2024096</v>
      </c>
      <c r="E1097" s="5" t="s">
        <v>23</v>
      </c>
      <c r="F1097" s="5" t="s">
        <v>35</v>
      </c>
      <c r="G1097" s="5"/>
    </row>
    <row r="1098" s="1" customFormat="1" ht="18" customHeight="1" spans="1:7">
      <c r="A1098" s="5">
        <v>1096</v>
      </c>
      <c r="B1098" s="5" t="str">
        <f>"钱杭"</f>
        <v>钱杭</v>
      </c>
      <c r="C1098" s="5" t="str">
        <f>"7073202410140430513941"</f>
        <v>7073202410140430513941</v>
      </c>
      <c r="D1098" s="5" t="str">
        <f t="shared" si="25"/>
        <v>E2024096</v>
      </c>
      <c r="E1098" s="5" t="s">
        <v>23</v>
      </c>
      <c r="F1098" s="5" t="s">
        <v>35</v>
      </c>
      <c r="G1098" s="5"/>
    </row>
    <row r="1099" s="1" customFormat="1" ht="18" customHeight="1" spans="1:7">
      <c r="A1099" s="5">
        <v>1097</v>
      </c>
      <c r="B1099" s="5" t="str">
        <f>"吴阳"</f>
        <v>吴阳</v>
      </c>
      <c r="C1099" s="5" t="str">
        <f>"7073202410140832073966"</f>
        <v>7073202410140832073966</v>
      </c>
      <c r="D1099" s="5" t="str">
        <f t="shared" si="25"/>
        <v>E2024096</v>
      </c>
      <c r="E1099" s="5" t="s">
        <v>23</v>
      </c>
      <c r="F1099" s="5" t="s">
        <v>35</v>
      </c>
      <c r="G1099" s="5"/>
    </row>
    <row r="1100" s="1" customFormat="1" ht="18" customHeight="1" spans="1:7">
      <c r="A1100" s="5">
        <v>1098</v>
      </c>
      <c r="B1100" s="5" t="str">
        <f>"陈谦"</f>
        <v>陈谦</v>
      </c>
      <c r="C1100" s="5" t="str">
        <f>"7073202410140854193992"</f>
        <v>7073202410140854193992</v>
      </c>
      <c r="D1100" s="5" t="str">
        <f t="shared" si="25"/>
        <v>E2024096</v>
      </c>
      <c r="E1100" s="5" t="s">
        <v>23</v>
      </c>
      <c r="F1100" s="5" t="s">
        <v>35</v>
      </c>
      <c r="G1100" s="5"/>
    </row>
    <row r="1101" s="1" customFormat="1" ht="18" customHeight="1" spans="1:7">
      <c r="A1101" s="5">
        <v>1099</v>
      </c>
      <c r="B1101" s="5" t="str">
        <f>"吴晓雪"</f>
        <v>吴晓雪</v>
      </c>
      <c r="C1101" s="5" t="str">
        <f>"7073202410131309433398"</f>
        <v>7073202410131309433398</v>
      </c>
      <c r="D1101" s="5" t="str">
        <f t="shared" si="25"/>
        <v>E2024096</v>
      </c>
      <c r="E1101" s="5" t="s">
        <v>23</v>
      </c>
      <c r="F1101" s="5" t="s">
        <v>35</v>
      </c>
      <c r="G1101" s="5"/>
    </row>
    <row r="1102" s="1" customFormat="1" ht="18" customHeight="1" spans="1:7">
      <c r="A1102" s="5">
        <v>1100</v>
      </c>
      <c r="B1102" s="5" t="str">
        <f>"金冬霞"</f>
        <v>金冬霞</v>
      </c>
      <c r="C1102" s="5" t="str">
        <f>"7073202410141459465326"</f>
        <v>7073202410141459465326</v>
      </c>
      <c r="D1102" s="5" t="str">
        <f t="shared" si="25"/>
        <v>E2024096</v>
      </c>
      <c r="E1102" s="5" t="s">
        <v>23</v>
      </c>
      <c r="F1102" s="5" t="s">
        <v>35</v>
      </c>
      <c r="G1102" s="5"/>
    </row>
    <row r="1103" s="1" customFormat="1" ht="18" customHeight="1" spans="1:7">
      <c r="A1103" s="5">
        <v>1101</v>
      </c>
      <c r="B1103" s="5" t="str">
        <f>"郭如森"</f>
        <v>郭如森</v>
      </c>
      <c r="C1103" s="5" t="str">
        <f>"7073202410141651295671"</f>
        <v>7073202410141651295671</v>
      </c>
      <c r="D1103" s="5" t="str">
        <f t="shared" si="25"/>
        <v>E2024096</v>
      </c>
      <c r="E1103" s="5" t="s">
        <v>23</v>
      </c>
      <c r="F1103" s="5" t="s">
        <v>35</v>
      </c>
      <c r="G1103" s="5"/>
    </row>
    <row r="1104" s="1" customFormat="1" ht="18" customHeight="1" spans="1:7">
      <c r="A1104" s="5">
        <v>1102</v>
      </c>
      <c r="B1104" s="5" t="str">
        <f>"田瑛"</f>
        <v>田瑛</v>
      </c>
      <c r="C1104" s="5" t="str">
        <f>"7073202410141655075681"</f>
        <v>7073202410141655075681</v>
      </c>
      <c r="D1104" s="5" t="str">
        <f t="shared" si="25"/>
        <v>E2024096</v>
      </c>
      <c r="E1104" s="5" t="s">
        <v>23</v>
      </c>
      <c r="F1104" s="5" t="s">
        <v>35</v>
      </c>
      <c r="G1104" s="5"/>
    </row>
    <row r="1105" s="1" customFormat="1" ht="18" customHeight="1" spans="1:7">
      <c r="A1105" s="5">
        <v>1103</v>
      </c>
      <c r="B1105" s="5" t="str">
        <f>"刘李"</f>
        <v>刘李</v>
      </c>
      <c r="C1105" s="5" t="str">
        <f>"7073202410150931476794"</f>
        <v>7073202410150931476794</v>
      </c>
      <c r="D1105" s="5" t="str">
        <f t="shared" si="25"/>
        <v>E2024096</v>
      </c>
      <c r="E1105" s="5" t="s">
        <v>23</v>
      </c>
      <c r="F1105" s="5" t="s">
        <v>35</v>
      </c>
      <c r="G1105" s="5"/>
    </row>
    <row r="1106" s="1" customFormat="1" ht="18" customHeight="1" spans="1:7">
      <c r="A1106" s="5">
        <v>1104</v>
      </c>
      <c r="B1106" s="5" t="str">
        <f>"王巍"</f>
        <v>王巍</v>
      </c>
      <c r="C1106" s="5" t="str">
        <f>"7073202410130406253136"</f>
        <v>7073202410130406253136</v>
      </c>
      <c r="D1106" s="5" t="str">
        <f t="shared" si="25"/>
        <v>E2024096</v>
      </c>
      <c r="E1106" s="5" t="s">
        <v>23</v>
      </c>
      <c r="F1106" s="5" t="s">
        <v>35</v>
      </c>
      <c r="G1106" s="5"/>
    </row>
    <row r="1107" s="1" customFormat="1" ht="18" customHeight="1" spans="1:7">
      <c r="A1107" s="5">
        <v>1105</v>
      </c>
      <c r="B1107" s="5" t="str">
        <f>"谭莉桦"</f>
        <v>谭莉桦</v>
      </c>
      <c r="C1107" s="5" t="str">
        <f>"7073202410151303207933"</f>
        <v>7073202410151303207933</v>
      </c>
      <c r="D1107" s="5" t="str">
        <f t="shared" si="25"/>
        <v>E2024096</v>
      </c>
      <c r="E1107" s="5" t="s">
        <v>23</v>
      </c>
      <c r="F1107" s="5" t="s">
        <v>35</v>
      </c>
      <c r="G1107" s="5"/>
    </row>
    <row r="1108" s="1" customFormat="1" ht="18" customHeight="1" spans="1:7">
      <c r="A1108" s="5">
        <v>1106</v>
      </c>
      <c r="B1108" s="5" t="str">
        <f>"李亮"</f>
        <v>李亮</v>
      </c>
      <c r="C1108" s="5" t="str">
        <f>"7073202410151553598634"</f>
        <v>7073202410151553598634</v>
      </c>
      <c r="D1108" s="5" t="str">
        <f t="shared" si="25"/>
        <v>E2024096</v>
      </c>
      <c r="E1108" s="5" t="s">
        <v>23</v>
      </c>
      <c r="F1108" s="5" t="s">
        <v>35</v>
      </c>
      <c r="G1108" s="5"/>
    </row>
    <row r="1109" s="1" customFormat="1" ht="18" customHeight="1" spans="1:7">
      <c r="A1109" s="5">
        <v>1107</v>
      </c>
      <c r="B1109" s="5" t="str">
        <f>"曾浪"</f>
        <v>曾浪</v>
      </c>
      <c r="C1109" s="5" t="str">
        <f>"7073202410151725318987"</f>
        <v>7073202410151725318987</v>
      </c>
      <c r="D1109" s="5" t="str">
        <f t="shared" si="25"/>
        <v>E2024096</v>
      </c>
      <c r="E1109" s="5" t="s">
        <v>23</v>
      </c>
      <c r="F1109" s="5" t="s">
        <v>35</v>
      </c>
      <c r="G1109" s="5"/>
    </row>
    <row r="1110" s="1" customFormat="1" ht="18" customHeight="1" spans="1:7">
      <c r="A1110" s="5">
        <v>1108</v>
      </c>
      <c r="B1110" s="5" t="str">
        <f>"吴昊"</f>
        <v>吴昊</v>
      </c>
      <c r="C1110" s="5" t="str">
        <f>"7073202410151836109169"</f>
        <v>7073202410151836109169</v>
      </c>
      <c r="D1110" s="5" t="str">
        <f t="shared" si="25"/>
        <v>E2024096</v>
      </c>
      <c r="E1110" s="5" t="s">
        <v>23</v>
      </c>
      <c r="F1110" s="5" t="s">
        <v>35</v>
      </c>
      <c r="G1110" s="5"/>
    </row>
    <row r="1111" s="1" customFormat="1" ht="18" customHeight="1" spans="1:7">
      <c r="A1111" s="5">
        <v>1109</v>
      </c>
      <c r="B1111" s="5" t="str">
        <f>"郑晓莉"</f>
        <v>郑晓莉</v>
      </c>
      <c r="C1111" s="5" t="str">
        <f>"7073202410152022099623"</f>
        <v>7073202410152022099623</v>
      </c>
      <c r="D1111" s="5" t="str">
        <f t="shared" si="25"/>
        <v>E2024096</v>
      </c>
      <c r="E1111" s="5" t="s">
        <v>23</v>
      </c>
      <c r="F1111" s="5" t="s">
        <v>35</v>
      </c>
      <c r="G1111" s="5"/>
    </row>
    <row r="1112" s="1" customFormat="1" ht="18" customHeight="1" spans="1:7">
      <c r="A1112" s="5">
        <v>1110</v>
      </c>
      <c r="B1112" s="5" t="str">
        <f>"许昌玉"</f>
        <v>许昌玉</v>
      </c>
      <c r="C1112" s="5" t="str">
        <f>"70732024101609015010829"</f>
        <v>70732024101609015010829</v>
      </c>
      <c r="D1112" s="5" t="str">
        <f t="shared" si="25"/>
        <v>E2024096</v>
      </c>
      <c r="E1112" s="5" t="s">
        <v>23</v>
      </c>
      <c r="F1112" s="5" t="s">
        <v>35</v>
      </c>
      <c r="G1112" s="5"/>
    </row>
    <row r="1113" s="1" customFormat="1" ht="18" customHeight="1" spans="1:7">
      <c r="A1113" s="5">
        <v>1111</v>
      </c>
      <c r="B1113" s="5" t="str">
        <f>"古斌"</f>
        <v>古斌</v>
      </c>
      <c r="C1113" s="5" t="str">
        <f>"7073202410121041381874"</f>
        <v>7073202410121041381874</v>
      </c>
      <c r="D1113" s="5" t="str">
        <f t="shared" si="25"/>
        <v>E2024096</v>
      </c>
      <c r="E1113" s="5" t="s">
        <v>23</v>
      </c>
      <c r="F1113" s="5" t="s">
        <v>35</v>
      </c>
      <c r="G1113" s="5"/>
    </row>
    <row r="1114" s="1" customFormat="1" ht="18" customHeight="1" spans="1:7">
      <c r="A1114" s="5">
        <v>1112</v>
      </c>
      <c r="B1114" s="5" t="str">
        <f>"林艳娥"</f>
        <v>林艳娥</v>
      </c>
      <c r="C1114" s="5" t="str">
        <f>"7073202410140900394003"</f>
        <v>7073202410140900394003</v>
      </c>
      <c r="D1114" s="5" t="str">
        <f t="shared" si="25"/>
        <v>E2024096</v>
      </c>
      <c r="E1114" s="5" t="s">
        <v>23</v>
      </c>
      <c r="F1114" s="5" t="s">
        <v>35</v>
      </c>
      <c r="G1114" s="5"/>
    </row>
    <row r="1115" s="1" customFormat="1" ht="18" customHeight="1" spans="1:7">
      <c r="A1115" s="5">
        <v>1113</v>
      </c>
      <c r="B1115" s="5" t="str">
        <f>"商菊红"</f>
        <v>商菊红</v>
      </c>
      <c r="C1115" s="5" t="str">
        <f>"70732024101613475112281"</f>
        <v>70732024101613475112281</v>
      </c>
      <c r="D1115" s="5" t="str">
        <f t="shared" si="25"/>
        <v>E2024096</v>
      </c>
      <c r="E1115" s="5" t="s">
        <v>23</v>
      </c>
      <c r="F1115" s="5" t="s">
        <v>35</v>
      </c>
      <c r="G1115" s="5"/>
    </row>
    <row r="1116" s="1" customFormat="1" ht="18" customHeight="1" spans="1:7">
      <c r="A1116" s="5">
        <v>1114</v>
      </c>
      <c r="B1116" s="5" t="str">
        <f>"侯义丹"</f>
        <v>侯义丹</v>
      </c>
      <c r="C1116" s="5" t="str">
        <f>"7073202410121115571984"</f>
        <v>7073202410121115571984</v>
      </c>
      <c r="D1116" s="5" t="str">
        <f t="shared" si="25"/>
        <v>E2024096</v>
      </c>
      <c r="E1116" s="5" t="s">
        <v>23</v>
      </c>
      <c r="F1116" s="5" t="s">
        <v>35</v>
      </c>
      <c r="G1116" s="5"/>
    </row>
    <row r="1117" s="1" customFormat="1" ht="18" customHeight="1" spans="1:7">
      <c r="A1117" s="5">
        <v>1115</v>
      </c>
      <c r="B1117" s="5" t="str">
        <f>"田小倩"</f>
        <v>田小倩</v>
      </c>
      <c r="C1117" s="5" t="str">
        <f>"70732024101619231514190"</f>
        <v>70732024101619231514190</v>
      </c>
      <c r="D1117" s="5" t="str">
        <f t="shared" si="25"/>
        <v>E2024096</v>
      </c>
      <c r="E1117" s="5" t="s">
        <v>23</v>
      </c>
      <c r="F1117" s="5" t="s">
        <v>35</v>
      </c>
      <c r="G1117" s="5"/>
    </row>
    <row r="1118" s="1" customFormat="1" ht="18" customHeight="1" spans="1:7">
      <c r="A1118" s="5">
        <v>1116</v>
      </c>
      <c r="B1118" s="5" t="str">
        <f>"徐彬超"</f>
        <v>徐彬超</v>
      </c>
      <c r="C1118" s="5" t="str">
        <f>"7073202410151526198499"</f>
        <v>7073202410151526198499</v>
      </c>
      <c r="D1118" s="5" t="str">
        <f t="shared" si="25"/>
        <v>E2024096</v>
      </c>
      <c r="E1118" s="5" t="s">
        <v>23</v>
      </c>
      <c r="F1118" s="5" t="s">
        <v>35</v>
      </c>
      <c r="G1118" s="5"/>
    </row>
    <row r="1119" s="1" customFormat="1" ht="18" customHeight="1" spans="1:7">
      <c r="A1119" s="5">
        <v>1117</v>
      </c>
      <c r="B1119" s="5" t="str">
        <f>"田晓璐"</f>
        <v>田晓璐</v>
      </c>
      <c r="C1119" s="5" t="str">
        <f>"70732024101713273217692"</f>
        <v>70732024101713273217692</v>
      </c>
      <c r="D1119" s="5" t="str">
        <f t="shared" si="25"/>
        <v>E2024096</v>
      </c>
      <c r="E1119" s="5" t="s">
        <v>23</v>
      </c>
      <c r="F1119" s="5" t="s">
        <v>35</v>
      </c>
      <c r="G1119" s="5"/>
    </row>
    <row r="1120" s="1" customFormat="1" ht="18" customHeight="1" spans="1:7">
      <c r="A1120" s="5">
        <v>1118</v>
      </c>
      <c r="B1120" s="5" t="str">
        <f>"董国珍"</f>
        <v>董国珍</v>
      </c>
      <c r="C1120" s="5" t="str">
        <f>"7073202410151515528440"</f>
        <v>7073202410151515528440</v>
      </c>
      <c r="D1120" s="5" t="str">
        <f t="shared" si="25"/>
        <v>E2024096</v>
      </c>
      <c r="E1120" s="5" t="s">
        <v>23</v>
      </c>
      <c r="F1120" s="5" t="s">
        <v>35</v>
      </c>
      <c r="G1120" s="5"/>
    </row>
    <row r="1121" s="1" customFormat="1" ht="18" customHeight="1" spans="1:7">
      <c r="A1121" s="5">
        <v>1119</v>
      </c>
      <c r="B1121" s="5" t="str">
        <f>"高钦"</f>
        <v>高钦</v>
      </c>
      <c r="C1121" s="5" t="str">
        <f>"70732024101712473817456"</f>
        <v>70732024101712473817456</v>
      </c>
      <c r="D1121" s="5" t="str">
        <f t="shared" si="25"/>
        <v>E2024096</v>
      </c>
      <c r="E1121" s="5" t="s">
        <v>23</v>
      </c>
      <c r="F1121" s="5" t="s">
        <v>35</v>
      </c>
      <c r="G1121" s="5"/>
    </row>
    <row r="1122" s="1" customFormat="1" ht="18" customHeight="1" spans="1:7">
      <c r="A1122" s="5">
        <v>1120</v>
      </c>
      <c r="B1122" s="5" t="str">
        <f>"陈思燚"</f>
        <v>陈思燚</v>
      </c>
      <c r="C1122" s="5" t="str">
        <f>"70732024101719592920379"</f>
        <v>70732024101719592920379</v>
      </c>
      <c r="D1122" s="5" t="str">
        <f t="shared" si="25"/>
        <v>E2024096</v>
      </c>
      <c r="E1122" s="5" t="s">
        <v>23</v>
      </c>
      <c r="F1122" s="5" t="s">
        <v>35</v>
      </c>
      <c r="G1122" s="5"/>
    </row>
    <row r="1123" s="1" customFormat="1" ht="18" customHeight="1" spans="1:7">
      <c r="A1123" s="5">
        <v>1121</v>
      </c>
      <c r="B1123" s="5" t="str">
        <f>"吴佳莉"</f>
        <v>吴佳莉</v>
      </c>
      <c r="C1123" s="5" t="str">
        <f>"70732024101721450421086"</f>
        <v>70732024101721450421086</v>
      </c>
      <c r="D1123" s="5" t="str">
        <f t="shared" si="25"/>
        <v>E2024096</v>
      </c>
      <c r="E1123" s="5" t="s">
        <v>23</v>
      </c>
      <c r="F1123" s="5" t="s">
        <v>35</v>
      </c>
      <c r="G1123" s="5"/>
    </row>
    <row r="1124" s="1" customFormat="1" ht="18" customHeight="1" spans="1:7">
      <c r="A1124" s="5">
        <v>1122</v>
      </c>
      <c r="B1124" s="5" t="str">
        <f>"黄丽娟"</f>
        <v>黄丽娟</v>
      </c>
      <c r="C1124" s="5" t="str">
        <f>"7073202410151711018942"</f>
        <v>7073202410151711018942</v>
      </c>
      <c r="D1124" s="5" t="str">
        <f t="shared" si="25"/>
        <v>E2024096</v>
      </c>
      <c r="E1124" s="5" t="s">
        <v>23</v>
      </c>
      <c r="F1124" s="5" t="s">
        <v>35</v>
      </c>
      <c r="G1124" s="5"/>
    </row>
    <row r="1125" s="1" customFormat="1" ht="18" customHeight="1" spans="1:7">
      <c r="A1125" s="5">
        <v>1123</v>
      </c>
      <c r="B1125" s="5" t="str">
        <f>"陈鹏森"</f>
        <v>陈鹏森</v>
      </c>
      <c r="C1125" s="5" t="str">
        <f>"7073202410131859373701"</f>
        <v>7073202410131859373701</v>
      </c>
      <c r="D1125" s="5" t="str">
        <f t="shared" si="25"/>
        <v>E2024096</v>
      </c>
      <c r="E1125" s="5" t="s">
        <v>23</v>
      </c>
      <c r="F1125" s="5" t="s">
        <v>35</v>
      </c>
      <c r="G1125" s="5"/>
    </row>
    <row r="1126" s="1" customFormat="1" ht="18" customHeight="1" spans="1:7">
      <c r="A1126" s="5">
        <v>1124</v>
      </c>
      <c r="B1126" s="5" t="str">
        <f>"汤允亮"</f>
        <v>汤允亮</v>
      </c>
      <c r="C1126" s="5" t="str">
        <f>"70732024101821200227208"</f>
        <v>70732024101821200227208</v>
      </c>
      <c r="D1126" s="5" t="str">
        <f t="shared" si="25"/>
        <v>E2024096</v>
      </c>
      <c r="E1126" s="5" t="s">
        <v>23</v>
      </c>
      <c r="F1126" s="5" t="s">
        <v>35</v>
      </c>
      <c r="G1126" s="5"/>
    </row>
    <row r="1127" s="1" customFormat="1" ht="18" customHeight="1" spans="1:7">
      <c r="A1127" s="5">
        <v>1125</v>
      </c>
      <c r="B1127" s="5" t="str">
        <f>"向甜甜"</f>
        <v>向甜甜</v>
      </c>
      <c r="C1127" s="5" t="str">
        <f>"70732024101822125827417"</f>
        <v>70732024101822125827417</v>
      </c>
      <c r="D1127" s="5" t="str">
        <f t="shared" si="25"/>
        <v>E2024096</v>
      </c>
      <c r="E1127" s="5" t="s">
        <v>23</v>
      </c>
      <c r="F1127" s="5" t="s">
        <v>35</v>
      </c>
      <c r="G1127" s="5"/>
    </row>
    <row r="1128" s="1" customFormat="1" ht="18" customHeight="1" spans="1:7">
      <c r="A1128" s="5">
        <v>1126</v>
      </c>
      <c r="B1128" s="5" t="str">
        <f>"舒慧"</f>
        <v>舒慧</v>
      </c>
      <c r="C1128" s="5" t="str">
        <f>"70732024101911081428293"</f>
        <v>70732024101911081428293</v>
      </c>
      <c r="D1128" s="5" t="str">
        <f t="shared" si="25"/>
        <v>E2024096</v>
      </c>
      <c r="E1128" s="5" t="s">
        <v>23</v>
      </c>
      <c r="F1128" s="5" t="s">
        <v>35</v>
      </c>
      <c r="G1128" s="5"/>
    </row>
    <row r="1129" s="1" customFormat="1" ht="18" customHeight="1" spans="1:7">
      <c r="A1129" s="5">
        <v>1127</v>
      </c>
      <c r="B1129" s="5" t="str">
        <f>"兰运敏"</f>
        <v>兰运敏</v>
      </c>
      <c r="C1129" s="5" t="str">
        <f>"70732024101914541028944"</f>
        <v>70732024101914541028944</v>
      </c>
      <c r="D1129" s="5" t="str">
        <f t="shared" si="25"/>
        <v>E2024096</v>
      </c>
      <c r="E1129" s="5" t="s">
        <v>23</v>
      </c>
      <c r="F1129" s="5" t="s">
        <v>35</v>
      </c>
      <c r="G1129" s="5"/>
    </row>
    <row r="1130" s="1" customFormat="1" ht="18" customHeight="1" spans="1:7">
      <c r="A1130" s="5">
        <v>1128</v>
      </c>
      <c r="B1130" s="5" t="str">
        <f>"覃小冬"</f>
        <v>覃小冬</v>
      </c>
      <c r="C1130" s="5" t="str">
        <f>"7073202410132033423794"</f>
        <v>7073202410132033423794</v>
      </c>
      <c r="D1130" s="5" t="str">
        <f t="shared" si="25"/>
        <v>E2024096</v>
      </c>
      <c r="E1130" s="5" t="s">
        <v>23</v>
      </c>
      <c r="F1130" s="5" t="s">
        <v>35</v>
      </c>
      <c r="G1130" s="5"/>
    </row>
    <row r="1131" s="1" customFormat="1" ht="18" customHeight="1" spans="1:7">
      <c r="A1131" s="5">
        <v>1129</v>
      </c>
      <c r="B1131" s="5" t="str">
        <f>"邹林淑"</f>
        <v>邹林淑</v>
      </c>
      <c r="C1131" s="5" t="str">
        <f>"70732024101610123311257"</f>
        <v>70732024101610123311257</v>
      </c>
      <c r="D1131" s="5" t="str">
        <f t="shared" si="25"/>
        <v>E2024096</v>
      </c>
      <c r="E1131" s="5" t="s">
        <v>23</v>
      </c>
      <c r="F1131" s="5" t="s">
        <v>35</v>
      </c>
      <c r="G1131" s="5"/>
    </row>
    <row r="1132" s="1" customFormat="1" ht="18" customHeight="1" spans="1:7">
      <c r="A1132" s="5">
        <v>1130</v>
      </c>
      <c r="B1132" s="5" t="str">
        <f>"廖蕾"</f>
        <v>廖蕾</v>
      </c>
      <c r="C1132" s="5" t="str">
        <f>"70732024102020141732682"</f>
        <v>70732024102020141732682</v>
      </c>
      <c r="D1132" s="5" t="str">
        <f t="shared" si="25"/>
        <v>E2024096</v>
      </c>
      <c r="E1132" s="5" t="s">
        <v>23</v>
      </c>
      <c r="F1132" s="5" t="s">
        <v>35</v>
      </c>
      <c r="G1132" s="5"/>
    </row>
    <row r="1133" s="1" customFormat="1" ht="18" customHeight="1" spans="1:7">
      <c r="A1133" s="5">
        <v>1131</v>
      </c>
      <c r="B1133" s="5" t="str">
        <f>"甘居正"</f>
        <v>甘居正</v>
      </c>
      <c r="C1133" s="5" t="str">
        <f>"70732024102109402534802"</f>
        <v>70732024102109402534802</v>
      </c>
      <c r="D1133" s="5" t="str">
        <f t="shared" si="25"/>
        <v>E2024096</v>
      </c>
      <c r="E1133" s="5" t="s">
        <v>23</v>
      </c>
      <c r="F1133" s="5" t="s">
        <v>35</v>
      </c>
      <c r="G1133" s="5"/>
    </row>
    <row r="1134" s="1" customFormat="1" ht="18" customHeight="1" spans="1:7">
      <c r="A1134" s="5">
        <v>1132</v>
      </c>
      <c r="B1134" s="5" t="str">
        <f>"熊艳丽"</f>
        <v>熊艳丽</v>
      </c>
      <c r="C1134" s="5" t="str">
        <f>"7073202410150900146492"</f>
        <v>7073202410150900146492</v>
      </c>
      <c r="D1134" s="5" t="str">
        <f t="shared" si="25"/>
        <v>E2024096</v>
      </c>
      <c r="E1134" s="5" t="s">
        <v>23</v>
      </c>
      <c r="F1134" s="5" t="s">
        <v>35</v>
      </c>
      <c r="G1134" s="5"/>
    </row>
    <row r="1135" s="1" customFormat="1" ht="18" customHeight="1" spans="1:7">
      <c r="A1135" s="5">
        <v>1133</v>
      </c>
      <c r="B1135" s="5" t="str">
        <f>"向琪玲"</f>
        <v>向琪玲</v>
      </c>
      <c r="C1135" s="5" t="str">
        <f>"70732024102115043738673"</f>
        <v>70732024102115043738673</v>
      </c>
      <c r="D1135" s="5" t="str">
        <f t="shared" si="25"/>
        <v>E2024096</v>
      </c>
      <c r="E1135" s="5" t="s">
        <v>23</v>
      </c>
      <c r="F1135" s="5" t="s">
        <v>35</v>
      </c>
      <c r="G1135" s="5"/>
    </row>
    <row r="1136" s="1" customFormat="1" ht="18" customHeight="1" spans="1:7">
      <c r="A1136" s="5">
        <v>1134</v>
      </c>
      <c r="B1136" s="5" t="str">
        <f>"陶娟"</f>
        <v>陶娟</v>
      </c>
      <c r="C1136" s="5" t="str">
        <f>"70732024102115510339228"</f>
        <v>70732024102115510339228</v>
      </c>
      <c r="D1136" s="5" t="str">
        <f t="shared" si="25"/>
        <v>E2024096</v>
      </c>
      <c r="E1136" s="5" t="s">
        <v>23</v>
      </c>
      <c r="F1136" s="5" t="s">
        <v>35</v>
      </c>
      <c r="G1136" s="5"/>
    </row>
    <row r="1137" s="1" customFormat="1" ht="18" customHeight="1" spans="1:7">
      <c r="A1137" s="5">
        <v>1135</v>
      </c>
      <c r="B1137" s="5" t="str">
        <f>"黄曼"</f>
        <v>黄曼</v>
      </c>
      <c r="C1137" s="5" t="str">
        <f>"70732024102118080740843"</f>
        <v>70732024102118080740843</v>
      </c>
      <c r="D1137" s="5" t="str">
        <f t="shared" si="25"/>
        <v>E2024096</v>
      </c>
      <c r="E1137" s="5" t="s">
        <v>23</v>
      </c>
      <c r="F1137" s="5" t="s">
        <v>35</v>
      </c>
      <c r="G1137" s="5"/>
    </row>
    <row r="1138" s="1" customFormat="1" ht="18" customHeight="1" spans="1:7">
      <c r="A1138" s="5">
        <v>1136</v>
      </c>
      <c r="B1138" s="5" t="str">
        <f>"李陆阳"</f>
        <v>李陆阳</v>
      </c>
      <c r="C1138" s="5" t="str">
        <f>"70732024102119381641508"</f>
        <v>70732024102119381641508</v>
      </c>
      <c r="D1138" s="5" t="str">
        <f t="shared" si="25"/>
        <v>E2024096</v>
      </c>
      <c r="E1138" s="5" t="s">
        <v>23</v>
      </c>
      <c r="F1138" s="5" t="s">
        <v>35</v>
      </c>
      <c r="G1138" s="5"/>
    </row>
    <row r="1139" s="1" customFormat="1" ht="18" customHeight="1" spans="1:7">
      <c r="A1139" s="5">
        <v>1137</v>
      </c>
      <c r="B1139" s="5" t="str">
        <f>"张淇淞"</f>
        <v>张淇淞</v>
      </c>
      <c r="C1139" s="5" t="str">
        <f>"70732024102120205541859"</f>
        <v>70732024102120205541859</v>
      </c>
      <c r="D1139" s="5" t="str">
        <f t="shared" si="25"/>
        <v>E2024096</v>
      </c>
      <c r="E1139" s="5" t="s">
        <v>23</v>
      </c>
      <c r="F1139" s="5" t="s">
        <v>35</v>
      </c>
      <c r="G1139" s="5"/>
    </row>
    <row r="1140" s="1" customFormat="1" ht="18" customHeight="1" spans="1:7">
      <c r="A1140" s="5">
        <v>1138</v>
      </c>
      <c r="B1140" s="5" t="str">
        <f>"田礼静"</f>
        <v>田礼静</v>
      </c>
      <c r="C1140" s="5" t="str">
        <f>"70732024101911595228464"</f>
        <v>70732024101911595228464</v>
      </c>
      <c r="D1140" s="5" t="str">
        <f t="shared" si="25"/>
        <v>E2024096</v>
      </c>
      <c r="E1140" s="5" t="s">
        <v>23</v>
      </c>
      <c r="F1140" s="5" t="s">
        <v>35</v>
      </c>
      <c r="G1140" s="5"/>
    </row>
    <row r="1141" s="1" customFormat="1" ht="18" customHeight="1" spans="1:7">
      <c r="A1141" s="5">
        <v>1139</v>
      </c>
      <c r="B1141" s="5" t="str">
        <f>"董继宏"</f>
        <v>董继宏</v>
      </c>
      <c r="C1141" s="5" t="str">
        <f>"70732024102210130144426"</f>
        <v>70732024102210130144426</v>
      </c>
      <c r="D1141" s="5" t="str">
        <f t="shared" si="25"/>
        <v>E2024096</v>
      </c>
      <c r="E1141" s="5" t="s">
        <v>23</v>
      </c>
      <c r="F1141" s="5" t="s">
        <v>35</v>
      </c>
      <c r="G1141" s="5"/>
    </row>
    <row r="1142" s="1" customFormat="1" ht="18" customHeight="1" spans="1:7">
      <c r="A1142" s="5">
        <v>1140</v>
      </c>
      <c r="B1142" s="5" t="str">
        <f>"向露"</f>
        <v>向露</v>
      </c>
      <c r="C1142" s="5" t="str">
        <f>"70732024102112550337420"</f>
        <v>70732024102112550337420</v>
      </c>
      <c r="D1142" s="5" t="str">
        <f t="shared" si="25"/>
        <v>E2024096</v>
      </c>
      <c r="E1142" s="5" t="s">
        <v>23</v>
      </c>
      <c r="F1142" s="5" t="s">
        <v>35</v>
      </c>
      <c r="G1142" s="5"/>
    </row>
    <row r="1143" s="1" customFormat="1" ht="18" customHeight="1" spans="1:7">
      <c r="A1143" s="5">
        <v>1141</v>
      </c>
      <c r="B1143" s="5" t="str">
        <f>"冉光秋"</f>
        <v>冉光秋</v>
      </c>
      <c r="C1143" s="5" t="str">
        <f>"70732024102215573947311"</f>
        <v>70732024102215573947311</v>
      </c>
      <c r="D1143" s="5" t="str">
        <f t="shared" si="25"/>
        <v>E2024096</v>
      </c>
      <c r="E1143" s="5" t="s">
        <v>23</v>
      </c>
      <c r="F1143" s="5" t="s">
        <v>35</v>
      </c>
      <c r="G1143" s="5"/>
    </row>
    <row r="1144" s="1" customFormat="1" ht="18" customHeight="1" spans="1:7">
      <c r="A1144" s="5">
        <v>1142</v>
      </c>
      <c r="B1144" s="5" t="str">
        <f>"杨帆"</f>
        <v>杨帆</v>
      </c>
      <c r="C1144" s="5" t="str">
        <f>"70732024102308445951032"</f>
        <v>70732024102308445951032</v>
      </c>
      <c r="D1144" s="5" t="str">
        <f t="shared" si="25"/>
        <v>E2024096</v>
      </c>
      <c r="E1144" s="5" t="s">
        <v>23</v>
      </c>
      <c r="F1144" s="5" t="s">
        <v>35</v>
      </c>
      <c r="G1144" s="5"/>
    </row>
    <row r="1145" s="1" customFormat="1" ht="18" customHeight="1" spans="1:7">
      <c r="A1145" s="5">
        <v>1143</v>
      </c>
      <c r="B1145" s="5" t="str">
        <f>"万历玉"</f>
        <v>万历玉</v>
      </c>
      <c r="C1145" s="5" t="str">
        <f>"7073202410120912031532"</f>
        <v>7073202410120912031532</v>
      </c>
      <c r="D1145" s="5" t="str">
        <f t="shared" si="25"/>
        <v>E2024096</v>
      </c>
      <c r="E1145" s="5" t="s">
        <v>23</v>
      </c>
      <c r="F1145" s="5" t="s">
        <v>35</v>
      </c>
      <c r="G1145" s="5"/>
    </row>
    <row r="1146" s="1" customFormat="1" ht="18" customHeight="1" spans="1:7">
      <c r="A1146" s="5">
        <v>1144</v>
      </c>
      <c r="B1146" s="5" t="str">
        <f>"李鹏宇"</f>
        <v>李鹏宇</v>
      </c>
      <c r="C1146" s="5" t="str">
        <f>"70732024102313313155905"</f>
        <v>70732024102313313155905</v>
      </c>
      <c r="D1146" s="5" t="str">
        <f t="shared" si="25"/>
        <v>E2024096</v>
      </c>
      <c r="E1146" s="5" t="s">
        <v>23</v>
      </c>
      <c r="F1146" s="5" t="s">
        <v>35</v>
      </c>
      <c r="G1146" s="5"/>
    </row>
    <row r="1147" s="1" customFormat="1" ht="18" customHeight="1" spans="1:7">
      <c r="A1147" s="5">
        <v>1145</v>
      </c>
      <c r="B1147" s="5" t="str">
        <f>"杨华"</f>
        <v>杨华</v>
      </c>
      <c r="C1147" s="5" t="str">
        <f>"70732024102316200458179"</f>
        <v>70732024102316200458179</v>
      </c>
      <c r="D1147" s="5" t="str">
        <f t="shared" si="25"/>
        <v>E2024096</v>
      </c>
      <c r="E1147" s="5" t="s">
        <v>23</v>
      </c>
      <c r="F1147" s="5" t="s">
        <v>35</v>
      </c>
      <c r="G1147" s="5"/>
    </row>
    <row r="1148" s="1" customFormat="1" ht="18" customHeight="1" spans="1:7">
      <c r="A1148" s="5">
        <v>1146</v>
      </c>
      <c r="B1148" s="5" t="str">
        <f>"罗婕"</f>
        <v>罗婕</v>
      </c>
      <c r="C1148" s="5" t="str">
        <f>"70732024102320250460844"</f>
        <v>70732024102320250460844</v>
      </c>
      <c r="D1148" s="5" t="str">
        <f t="shared" si="25"/>
        <v>E2024096</v>
      </c>
      <c r="E1148" s="5" t="s">
        <v>23</v>
      </c>
      <c r="F1148" s="5" t="s">
        <v>35</v>
      </c>
      <c r="G1148" s="5"/>
    </row>
    <row r="1149" s="1" customFormat="1" ht="18" customHeight="1" spans="1:7">
      <c r="A1149" s="5">
        <v>1147</v>
      </c>
      <c r="B1149" s="5" t="str">
        <f>"覃瑶"</f>
        <v>覃瑶</v>
      </c>
      <c r="C1149" s="5" t="str">
        <f>"70732024102414554267545"</f>
        <v>70732024102414554267545</v>
      </c>
      <c r="D1149" s="5" t="str">
        <f>"E2024096"</f>
        <v>E2024096</v>
      </c>
      <c r="E1149" s="5" t="s">
        <v>23</v>
      </c>
      <c r="F1149" s="5" t="s">
        <v>35</v>
      </c>
      <c r="G1149" s="5"/>
    </row>
    <row r="1150" s="1" customFormat="1" ht="18" customHeight="1" spans="1:7">
      <c r="A1150" s="5">
        <v>1148</v>
      </c>
      <c r="B1150" s="5" t="str">
        <f>"汪桐羽"</f>
        <v>汪桐羽</v>
      </c>
      <c r="C1150" s="5" t="str">
        <f>"70732024101817464925937"</f>
        <v>70732024101817464925937</v>
      </c>
      <c r="D1150" s="5" t="str">
        <f>"E2024096"</f>
        <v>E2024096</v>
      </c>
      <c r="E1150" s="5" t="s">
        <v>23</v>
      </c>
      <c r="F1150" s="5" t="s">
        <v>35</v>
      </c>
      <c r="G1150" s="5"/>
    </row>
  </sheetData>
  <autoFilter xmlns:etc="http://www.wps.cn/officeDocument/2017/etCustomData" ref="A2:G1150" etc:filterBottomFollowUsedRange="0">
    <extLst/>
  </autoFilter>
  <mergeCells count="1">
    <mergeCell ref="A1:G1"/>
  </mergeCells>
  <printOptions horizontalCentered="1"/>
  <pageMargins left="0.161111111111111" right="0.161111111111111" top="0.409027777777778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菊子</cp:lastModifiedBy>
  <dcterms:created xsi:type="dcterms:W3CDTF">2024-11-22T05:31:00Z</dcterms:created>
  <dcterms:modified xsi:type="dcterms:W3CDTF">2024-11-22T05:40:10Z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CA8894A3FE8948F18DEF1F66FB0DB6BF_11</vt:lpwstr>
  </property>
  <property fmtid="{D5CDD505-2E9C-101B-9397-08002B2CF9AE}" pid="3" name="KSOProductBuildVer">
    <vt:lpwstr>2052-12.1.0.18912</vt:lpwstr>
  </property>
</Properties>
</file>