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成绩表" sheetId="4" r:id="rId1"/>
  </sheets>
  <definedNames>
    <definedName name="_xlnm._FilterDatabase" localSheetId="0" hidden="1">成绩表!$A$2:$X$732</definedName>
    <definedName name="_xlnm.Print_Titles" localSheetId="0">成绩表!$2:$2</definedName>
    <definedName name="成绩">成绩表!$J$3:$J$732</definedName>
    <definedName name="岗位代码">成绩表!$F$3:$F$732</definedName>
  </definedNames>
  <calcPr calcId="125725"/>
</workbook>
</file>

<file path=xl/calcChain.xml><?xml version="1.0" encoding="utf-8"?>
<calcChain xmlns="http://schemas.openxmlformats.org/spreadsheetml/2006/main">
  <c r="B630" i="4"/>
  <c r="B710"/>
  <c r="C731"/>
  <c r="B731"/>
  <c r="F731"/>
  <c r="C728"/>
  <c r="B728"/>
  <c r="F728"/>
  <c r="C729"/>
  <c r="B729"/>
  <c r="F729"/>
  <c r="C732"/>
  <c r="B732"/>
  <c r="F732"/>
  <c r="C730"/>
  <c r="B730"/>
  <c r="F730"/>
  <c r="C726"/>
  <c r="B726"/>
  <c r="F726"/>
  <c r="C727"/>
  <c r="B727"/>
  <c r="F727"/>
  <c r="C725"/>
  <c r="B725"/>
  <c r="F725"/>
  <c r="C724"/>
  <c r="B724"/>
  <c r="F724"/>
  <c r="C723"/>
  <c r="B723"/>
  <c r="F723"/>
  <c r="C722"/>
  <c r="B722"/>
  <c r="F722"/>
  <c r="C721"/>
  <c r="B721"/>
  <c r="F721"/>
  <c r="C720"/>
  <c r="B720"/>
  <c r="F720"/>
  <c r="C719"/>
  <c r="B719"/>
  <c r="F719"/>
  <c r="C718"/>
  <c r="B718"/>
  <c r="F718"/>
  <c r="C717"/>
  <c r="B717"/>
  <c r="F717"/>
  <c r="C716"/>
  <c r="B716"/>
  <c r="F716"/>
  <c r="C715"/>
  <c r="B715"/>
  <c r="F715"/>
  <c r="C577"/>
  <c r="B577"/>
  <c r="F577"/>
  <c r="C714"/>
  <c r="B714"/>
  <c r="F714"/>
  <c r="C713"/>
  <c r="B713"/>
  <c r="F713"/>
  <c r="C712"/>
  <c r="B712"/>
  <c r="F712"/>
  <c r="C621"/>
  <c r="B621"/>
  <c r="F621"/>
  <c r="C711"/>
  <c r="B711"/>
  <c r="F711"/>
  <c r="C710"/>
  <c r="F710"/>
  <c r="C709"/>
  <c r="B709"/>
  <c r="F709"/>
  <c r="C708"/>
  <c r="B708"/>
  <c r="F708"/>
  <c r="C573"/>
  <c r="B573"/>
  <c r="F573"/>
  <c r="C630"/>
  <c r="F630"/>
  <c r="C707"/>
  <c r="B707"/>
  <c r="F707"/>
  <c r="C706"/>
  <c r="B706"/>
  <c r="F706"/>
  <c r="C705"/>
  <c r="B705"/>
  <c r="F705"/>
  <c r="C580"/>
  <c r="B580"/>
  <c r="F580"/>
  <c r="C704"/>
  <c r="B704"/>
  <c r="F704"/>
  <c r="C703"/>
  <c r="B703"/>
  <c r="F703"/>
  <c r="C702"/>
  <c r="B702"/>
  <c r="F702"/>
  <c r="C701"/>
  <c r="B701"/>
  <c r="F701"/>
  <c r="C623"/>
  <c r="B623"/>
  <c r="F623"/>
  <c r="C700"/>
  <c r="B700"/>
  <c r="F700"/>
  <c r="C607"/>
  <c r="B607"/>
  <c r="F607"/>
  <c r="C699"/>
  <c r="B699"/>
  <c r="F699"/>
  <c r="C698"/>
  <c r="B698"/>
  <c r="F698"/>
  <c r="C697"/>
  <c r="B697"/>
  <c r="F697"/>
  <c r="C696"/>
  <c r="B696"/>
  <c r="F696"/>
  <c r="C595"/>
  <c r="B595"/>
  <c r="F595"/>
  <c r="C695"/>
  <c r="B695"/>
  <c r="F695"/>
  <c r="C571"/>
  <c r="B571"/>
  <c r="F571"/>
  <c r="C694"/>
  <c r="B694"/>
  <c r="F694"/>
  <c r="C693"/>
  <c r="B693"/>
  <c r="F693"/>
  <c r="C692"/>
  <c r="B692"/>
  <c r="F692"/>
  <c r="C691"/>
  <c r="B691"/>
  <c r="F691"/>
  <c r="C690"/>
  <c r="B690"/>
  <c r="F690"/>
  <c r="C590"/>
  <c r="B590"/>
  <c r="F590"/>
  <c r="C689"/>
  <c r="B689"/>
  <c r="F689"/>
  <c r="C688"/>
  <c r="B688"/>
  <c r="F688"/>
  <c r="C687"/>
  <c r="B687"/>
  <c r="F687"/>
  <c r="C686"/>
  <c r="B686"/>
  <c r="F686"/>
  <c r="C685"/>
  <c r="B685"/>
  <c r="F685"/>
  <c r="C684"/>
  <c r="B684"/>
  <c r="F684"/>
  <c r="C617"/>
  <c r="B617"/>
  <c r="F617"/>
  <c r="C572"/>
  <c r="B572"/>
  <c r="F572"/>
  <c r="C594"/>
  <c r="B594"/>
  <c r="F594"/>
  <c r="C683"/>
  <c r="B683"/>
  <c r="F683"/>
  <c r="C682"/>
  <c r="B682"/>
  <c r="F682"/>
  <c r="C614"/>
  <c r="B614"/>
  <c r="F614"/>
  <c r="C578"/>
  <c r="B578"/>
  <c r="F578"/>
  <c r="C681"/>
  <c r="B681"/>
  <c r="F681"/>
  <c r="C628"/>
  <c r="B628"/>
  <c r="F628"/>
  <c r="C629"/>
  <c r="B629"/>
  <c r="F629"/>
  <c r="C680"/>
  <c r="B680"/>
  <c r="F680"/>
  <c r="C615"/>
  <c r="B615"/>
  <c r="F615"/>
  <c r="C579"/>
  <c r="B579"/>
  <c r="F579"/>
  <c r="C679"/>
  <c r="B679"/>
  <c r="F679"/>
  <c r="C567"/>
  <c r="B567"/>
  <c r="F567"/>
  <c r="C624"/>
  <c r="B624"/>
  <c r="F624"/>
  <c r="C678"/>
  <c r="B678"/>
  <c r="F678"/>
  <c r="C606"/>
  <c r="B606"/>
  <c r="F606"/>
  <c r="C627"/>
  <c r="B627"/>
  <c r="F627"/>
  <c r="C600"/>
  <c r="B600"/>
  <c r="F600"/>
  <c r="C583"/>
  <c r="B583"/>
  <c r="F583"/>
  <c r="C677"/>
  <c r="B677"/>
  <c r="F677"/>
  <c r="C676"/>
  <c r="B676"/>
  <c r="F676"/>
  <c r="C675"/>
  <c r="B675"/>
  <c r="F675"/>
  <c r="C566"/>
  <c r="B566"/>
  <c r="F566"/>
  <c r="C674"/>
  <c r="B674"/>
  <c r="F674"/>
  <c r="C673"/>
  <c r="B673"/>
  <c r="F673"/>
  <c r="C672"/>
  <c r="B672"/>
  <c r="F672"/>
  <c r="C671"/>
  <c r="B671"/>
  <c r="F671"/>
  <c r="C612"/>
  <c r="B612"/>
  <c r="F612"/>
  <c r="C670"/>
  <c r="B670"/>
  <c r="F670"/>
  <c r="C669"/>
  <c r="B669"/>
  <c r="F669"/>
  <c r="C668"/>
  <c r="B668"/>
  <c r="F668"/>
  <c r="C667"/>
  <c r="B667"/>
  <c r="F667"/>
  <c r="C601"/>
  <c r="B601"/>
  <c r="F601"/>
  <c r="C666"/>
  <c r="B666"/>
  <c r="F666"/>
  <c r="C665"/>
  <c r="B665"/>
  <c r="F665"/>
  <c r="C598"/>
  <c r="B598"/>
  <c r="F598"/>
  <c r="C593"/>
  <c r="B593"/>
  <c r="F593"/>
  <c r="C581"/>
  <c r="B581"/>
  <c r="F581"/>
  <c r="C664"/>
  <c r="B664"/>
  <c r="F664"/>
  <c r="C663"/>
  <c r="B663"/>
  <c r="F663"/>
  <c r="C620"/>
  <c r="B620"/>
  <c r="F620"/>
  <c r="C587"/>
  <c r="B587"/>
  <c r="F587"/>
  <c r="C619"/>
  <c r="B619"/>
  <c r="F619"/>
  <c r="C625"/>
  <c r="B625"/>
  <c r="F625"/>
  <c r="C662"/>
  <c r="B662"/>
  <c r="F662"/>
  <c r="C584"/>
  <c r="B584"/>
  <c r="F584"/>
  <c r="C605"/>
  <c r="B605"/>
  <c r="F605"/>
  <c r="C661"/>
  <c r="B661"/>
  <c r="F661"/>
  <c r="C660"/>
  <c r="B660"/>
  <c r="F660"/>
  <c r="C626"/>
  <c r="B626"/>
  <c r="F626"/>
  <c r="C659"/>
  <c r="B659"/>
  <c r="F659"/>
  <c r="C611"/>
  <c r="B611"/>
  <c r="F611"/>
  <c r="C609"/>
  <c r="B609"/>
  <c r="F609"/>
  <c r="C604"/>
  <c r="B604"/>
  <c r="F604"/>
  <c r="C592"/>
  <c r="B592"/>
  <c r="F592"/>
  <c r="C658"/>
  <c r="B658"/>
  <c r="F658"/>
  <c r="C589"/>
  <c r="B589"/>
  <c r="F589"/>
  <c r="C657"/>
  <c r="B657"/>
  <c r="F657"/>
  <c r="C656"/>
  <c r="B656"/>
  <c r="F656"/>
  <c r="C622"/>
  <c r="B622"/>
  <c r="F622"/>
  <c r="C575"/>
  <c r="B575"/>
  <c r="F575"/>
  <c r="C655"/>
  <c r="B655"/>
  <c r="F655"/>
  <c r="C610"/>
  <c r="B610"/>
  <c r="F610"/>
  <c r="C603"/>
  <c r="B603"/>
  <c r="F603"/>
  <c r="C608"/>
  <c r="B608"/>
  <c r="F608"/>
  <c r="C570"/>
  <c r="B570"/>
  <c r="F570"/>
  <c r="C591"/>
  <c r="B591"/>
  <c r="F591"/>
  <c r="C654"/>
  <c r="B654"/>
  <c r="F654"/>
  <c r="C653"/>
  <c r="B653"/>
  <c r="F653"/>
  <c r="C652"/>
  <c r="B652"/>
  <c r="F652"/>
  <c r="C651"/>
  <c r="B651"/>
  <c r="F651"/>
  <c r="C568"/>
  <c r="B568"/>
  <c r="F568"/>
  <c r="C602"/>
  <c r="B602"/>
  <c r="F602"/>
  <c r="C650"/>
  <c r="B650"/>
  <c r="F650"/>
  <c r="C596"/>
  <c r="B596"/>
  <c r="F596"/>
  <c r="C649"/>
  <c r="B649"/>
  <c r="F649"/>
  <c r="C648"/>
  <c r="B648"/>
  <c r="F648"/>
  <c r="C647"/>
  <c r="B647"/>
  <c r="F647"/>
  <c r="C574"/>
  <c r="B574"/>
  <c r="F574"/>
  <c r="C646"/>
  <c r="B646"/>
  <c r="F646"/>
  <c r="C645"/>
  <c r="B645"/>
  <c r="F645"/>
  <c r="C618"/>
  <c r="B618"/>
  <c r="F618"/>
  <c r="C644"/>
  <c r="B644"/>
  <c r="F644"/>
  <c r="C643"/>
  <c r="B643"/>
  <c r="F643"/>
  <c r="C642"/>
  <c r="B642"/>
  <c r="F642"/>
  <c r="C641"/>
  <c r="B641"/>
  <c r="F641"/>
  <c r="C640"/>
  <c r="B640"/>
  <c r="F640"/>
  <c r="C639"/>
  <c r="B639"/>
  <c r="F639"/>
  <c r="C597"/>
  <c r="B597"/>
  <c r="F597"/>
  <c r="C613"/>
  <c r="B613"/>
  <c r="F613"/>
  <c r="C565"/>
  <c r="B565"/>
  <c r="F565"/>
  <c r="C582"/>
  <c r="B582"/>
  <c r="F582"/>
  <c r="C616"/>
  <c r="B616"/>
  <c r="F616"/>
  <c r="C638"/>
  <c r="B638"/>
  <c r="F638"/>
  <c r="C637"/>
  <c r="B637"/>
  <c r="F637"/>
  <c r="C585"/>
  <c r="B585"/>
  <c r="F585"/>
  <c r="C636"/>
  <c r="B636"/>
  <c r="F636"/>
  <c r="C635"/>
  <c r="B635"/>
  <c r="F635"/>
  <c r="C588"/>
  <c r="B588"/>
  <c r="F588"/>
  <c r="C634"/>
  <c r="B634"/>
  <c r="F634"/>
  <c r="C586"/>
  <c r="B586"/>
  <c r="F586"/>
  <c r="C599"/>
  <c r="B599"/>
  <c r="F599"/>
  <c r="C633"/>
  <c r="B633"/>
  <c r="F633"/>
  <c r="C632"/>
  <c r="B632"/>
  <c r="F632"/>
  <c r="C631"/>
  <c r="B631"/>
  <c r="F631"/>
  <c r="C576"/>
  <c r="B576"/>
  <c r="F576"/>
  <c r="C569"/>
  <c r="B569"/>
  <c r="F569"/>
  <c r="C564"/>
  <c r="B564"/>
  <c r="F564"/>
  <c r="C563"/>
  <c r="B563"/>
  <c r="F563"/>
  <c r="C562"/>
  <c r="B562"/>
  <c r="F562"/>
  <c r="C561"/>
  <c r="B561"/>
  <c r="F561"/>
  <c r="C560"/>
  <c r="B560"/>
  <c r="F560"/>
  <c r="C542"/>
  <c r="B542"/>
  <c r="F542"/>
  <c r="C559"/>
  <c r="B559"/>
  <c r="F559"/>
  <c r="C540"/>
  <c r="B540"/>
  <c r="F540"/>
  <c r="C558"/>
  <c r="B558"/>
  <c r="F558"/>
  <c r="C539"/>
  <c r="B539"/>
  <c r="F539"/>
  <c r="C541"/>
  <c r="B541"/>
  <c r="F541"/>
  <c r="C546"/>
  <c r="B546"/>
  <c r="F546"/>
  <c r="C545"/>
  <c r="B545"/>
  <c r="F545"/>
  <c r="C557"/>
  <c r="B557"/>
  <c r="F557"/>
  <c r="C556"/>
  <c r="B556"/>
  <c r="F556"/>
  <c r="C544"/>
  <c r="B544"/>
  <c r="F544"/>
  <c r="C543"/>
  <c r="B543"/>
  <c r="F543"/>
  <c r="C555"/>
  <c r="B555"/>
  <c r="F555"/>
  <c r="C554"/>
  <c r="B554"/>
  <c r="F554"/>
  <c r="C553"/>
  <c r="B553"/>
  <c r="F553"/>
  <c r="C552"/>
  <c r="B552"/>
  <c r="F552"/>
  <c r="C551"/>
  <c r="B551"/>
  <c r="F551"/>
  <c r="C550"/>
  <c r="B550"/>
  <c r="F550"/>
  <c r="C549"/>
  <c r="B549"/>
  <c r="F549"/>
  <c r="C548"/>
  <c r="B548"/>
  <c r="F548"/>
  <c r="C547"/>
  <c r="B547"/>
  <c r="F547"/>
  <c r="C538"/>
  <c r="B538"/>
  <c r="F538"/>
  <c r="C537"/>
  <c r="B537"/>
  <c r="F537"/>
  <c r="C458"/>
  <c r="B458"/>
  <c r="F458"/>
  <c r="C536"/>
  <c r="B536"/>
  <c r="F536"/>
  <c r="C535"/>
  <c r="B535"/>
  <c r="F535"/>
  <c r="C534"/>
  <c r="B534"/>
  <c r="F534"/>
  <c r="C429"/>
  <c r="B429"/>
  <c r="F429"/>
  <c r="C533"/>
  <c r="B533"/>
  <c r="F533"/>
  <c r="C532"/>
  <c r="B532"/>
  <c r="F532"/>
  <c r="C531"/>
  <c r="B531"/>
  <c r="F531"/>
  <c r="C530"/>
  <c r="B530"/>
  <c r="F530"/>
  <c r="C529"/>
  <c r="B529"/>
  <c r="F529"/>
  <c r="C460"/>
  <c r="B460"/>
  <c r="F460"/>
  <c r="C451"/>
  <c r="B451"/>
  <c r="F451"/>
  <c r="C528"/>
  <c r="B528"/>
  <c r="F528"/>
  <c r="C527"/>
  <c r="B527"/>
  <c r="F527"/>
  <c r="C526"/>
  <c r="B526"/>
  <c r="F526"/>
  <c r="C421"/>
  <c r="B421"/>
  <c r="F421"/>
  <c r="C455"/>
  <c r="B455"/>
  <c r="F455"/>
  <c r="C525"/>
  <c r="B525"/>
  <c r="F525"/>
  <c r="C417"/>
  <c r="B417"/>
  <c r="F417"/>
  <c r="C524"/>
  <c r="B524"/>
  <c r="F524"/>
  <c r="C523"/>
  <c r="B523"/>
  <c r="F523"/>
  <c r="C522"/>
  <c r="B522"/>
  <c r="F522"/>
  <c r="C521"/>
  <c r="B521"/>
  <c r="F521"/>
  <c r="C419"/>
  <c r="B419"/>
  <c r="F419"/>
  <c r="C520"/>
  <c r="B520"/>
  <c r="F520"/>
  <c r="C519"/>
  <c r="B519"/>
  <c r="F519"/>
  <c r="C518"/>
  <c r="B518"/>
  <c r="F518"/>
  <c r="C517"/>
  <c r="B517"/>
  <c r="F517"/>
  <c r="C463"/>
  <c r="B463"/>
  <c r="F463"/>
  <c r="C457"/>
  <c r="B457"/>
  <c r="F457"/>
  <c r="C516"/>
  <c r="B516"/>
  <c r="F516"/>
  <c r="C412"/>
  <c r="B412"/>
  <c r="F412"/>
  <c r="C416"/>
  <c r="B416"/>
  <c r="F416"/>
  <c r="C515"/>
  <c r="B515"/>
  <c r="F515"/>
  <c r="C423"/>
  <c r="B423"/>
  <c r="F423"/>
  <c r="C445"/>
  <c r="B445"/>
  <c r="F445"/>
  <c r="C514"/>
  <c r="B514"/>
  <c r="F514"/>
  <c r="C513"/>
  <c r="B513"/>
  <c r="F513"/>
  <c r="C512"/>
  <c r="B512"/>
  <c r="F512"/>
  <c r="C408"/>
  <c r="B408"/>
  <c r="F408"/>
  <c r="C511"/>
  <c r="B511"/>
  <c r="F511"/>
  <c r="C510"/>
  <c r="B510"/>
  <c r="F510"/>
  <c r="C407"/>
  <c r="B407"/>
  <c r="F407"/>
  <c r="C436"/>
  <c r="B436"/>
  <c r="F436"/>
  <c r="C453"/>
  <c r="B453"/>
  <c r="F453"/>
  <c r="C420"/>
  <c r="B420"/>
  <c r="F420"/>
  <c r="C452"/>
  <c r="B452"/>
  <c r="F452"/>
  <c r="C509"/>
  <c r="B509"/>
  <c r="F509"/>
  <c r="C508"/>
  <c r="B508"/>
  <c r="F508"/>
  <c r="C425"/>
  <c r="B425"/>
  <c r="F425"/>
  <c r="C507"/>
  <c r="B507"/>
  <c r="F507"/>
  <c r="C506"/>
  <c r="B506"/>
  <c r="F506"/>
  <c r="C505"/>
  <c r="B505"/>
  <c r="F505"/>
  <c r="C504"/>
  <c r="B504"/>
  <c r="F504"/>
  <c r="C503"/>
  <c r="B503"/>
  <c r="F503"/>
  <c r="C446"/>
  <c r="B446"/>
  <c r="F446"/>
  <c r="C426"/>
  <c r="B426"/>
  <c r="F426"/>
  <c r="C502"/>
  <c r="B502"/>
  <c r="F502"/>
  <c r="C501"/>
  <c r="B501"/>
  <c r="F501"/>
  <c r="C500"/>
  <c r="B500"/>
  <c r="F500"/>
  <c r="C405"/>
  <c r="B405"/>
  <c r="F405"/>
  <c r="C448"/>
  <c r="B448"/>
  <c r="F448"/>
  <c r="C415"/>
  <c r="B415"/>
  <c r="F415"/>
  <c r="C447"/>
  <c r="B447"/>
  <c r="F447"/>
  <c r="C439"/>
  <c r="B439"/>
  <c r="F439"/>
  <c r="C454"/>
  <c r="B454"/>
  <c r="F454"/>
  <c r="C440"/>
  <c r="B440"/>
  <c r="F440"/>
  <c r="C499"/>
  <c r="B499"/>
  <c r="F499"/>
  <c r="C498"/>
  <c r="B498"/>
  <c r="F498"/>
  <c r="C497"/>
  <c r="B497"/>
  <c r="F497"/>
  <c r="C496"/>
  <c r="B496"/>
  <c r="F496"/>
  <c r="C495"/>
  <c r="B495"/>
  <c r="F495"/>
  <c r="C494"/>
  <c r="B494"/>
  <c r="F494"/>
  <c r="C404"/>
  <c r="B404"/>
  <c r="F404"/>
  <c r="C493"/>
  <c r="B493"/>
  <c r="F493"/>
  <c r="C413"/>
  <c r="B413"/>
  <c r="F413"/>
  <c r="C492"/>
  <c r="B492"/>
  <c r="F492"/>
  <c r="C432"/>
  <c r="B432"/>
  <c r="F432"/>
  <c r="C444"/>
  <c r="B444"/>
  <c r="F444"/>
  <c r="C406"/>
  <c r="B406"/>
  <c r="F406"/>
  <c r="C491"/>
  <c r="B491"/>
  <c r="F491"/>
  <c r="C437"/>
  <c r="B437"/>
  <c r="F437"/>
  <c r="C442"/>
  <c r="B442"/>
  <c r="F442"/>
  <c r="C441"/>
  <c r="B441"/>
  <c r="F441"/>
  <c r="C459"/>
  <c r="B459"/>
  <c r="F459"/>
  <c r="C490"/>
  <c r="B490"/>
  <c r="F490"/>
  <c r="C489"/>
  <c r="B489"/>
  <c r="F489"/>
  <c r="C434"/>
  <c r="B434"/>
  <c r="F434"/>
  <c r="C430"/>
  <c r="B430"/>
  <c r="F430"/>
  <c r="C461"/>
  <c r="B461"/>
  <c r="F461"/>
  <c r="C488"/>
  <c r="B488"/>
  <c r="F488"/>
  <c r="C487"/>
  <c r="B487"/>
  <c r="F487"/>
  <c r="C486"/>
  <c r="B486"/>
  <c r="F486"/>
  <c r="C485"/>
  <c r="B485"/>
  <c r="F485"/>
  <c r="C462"/>
  <c r="B462"/>
  <c r="F462"/>
  <c r="C484"/>
  <c r="B484"/>
  <c r="F484"/>
  <c r="C431"/>
  <c r="B431"/>
  <c r="F431"/>
  <c r="C456"/>
  <c r="B456"/>
  <c r="F456"/>
  <c r="C483"/>
  <c r="B483"/>
  <c r="F483"/>
  <c r="C482"/>
  <c r="B482"/>
  <c r="F482"/>
  <c r="C399"/>
  <c r="B399"/>
  <c r="F399"/>
  <c r="C481"/>
  <c r="B481"/>
  <c r="F481"/>
  <c r="C410"/>
  <c r="B410"/>
  <c r="F410"/>
  <c r="C480"/>
  <c r="B480"/>
  <c r="F480"/>
  <c r="C479"/>
  <c r="B479"/>
  <c r="F479"/>
  <c r="C438"/>
  <c r="B438"/>
  <c r="F438"/>
  <c r="C435"/>
  <c r="B435"/>
  <c r="F435"/>
  <c r="C478"/>
  <c r="B478"/>
  <c r="F478"/>
  <c r="C411"/>
  <c r="B411"/>
  <c r="F411"/>
  <c r="C477"/>
  <c r="B477"/>
  <c r="F477"/>
  <c r="C476"/>
  <c r="B476"/>
  <c r="F476"/>
  <c r="C475"/>
  <c r="B475"/>
  <c r="F475"/>
  <c r="C474"/>
  <c r="B474"/>
  <c r="F474"/>
  <c r="C433"/>
  <c r="B433"/>
  <c r="F433"/>
  <c r="C443"/>
  <c r="B443"/>
  <c r="F443"/>
  <c r="C473"/>
  <c r="B473"/>
  <c r="F473"/>
  <c r="C449"/>
  <c r="B449"/>
  <c r="F449"/>
  <c r="C472"/>
  <c r="B472"/>
  <c r="F472"/>
  <c r="C402"/>
  <c r="B402"/>
  <c r="F402"/>
  <c r="C428"/>
  <c r="B428"/>
  <c r="F428"/>
  <c r="C471"/>
  <c r="B471"/>
  <c r="F471"/>
  <c r="C470"/>
  <c r="B470"/>
  <c r="F470"/>
  <c r="C469"/>
  <c r="B469"/>
  <c r="F469"/>
  <c r="C414"/>
  <c r="B414"/>
  <c r="F414"/>
  <c r="C418"/>
  <c r="B418"/>
  <c r="F418"/>
  <c r="C400"/>
  <c r="B400"/>
  <c r="F400"/>
  <c r="C427"/>
  <c r="B427"/>
  <c r="F427"/>
  <c r="C403"/>
  <c r="B403"/>
  <c r="F403"/>
  <c r="C422"/>
  <c r="B422"/>
  <c r="F422"/>
  <c r="C468"/>
  <c r="B468"/>
  <c r="F468"/>
  <c r="C401"/>
  <c r="B401"/>
  <c r="F401"/>
  <c r="C409"/>
  <c r="B409"/>
  <c r="F409"/>
  <c r="C467"/>
  <c r="B467"/>
  <c r="F467"/>
  <c r="C450"/>
  <c r="B450"/>
  <c r="F450"/>
  <c r="C466"/>
  <c r="B466"/>
  <c r="F466"/>
  <c r="C424"/>
  <c r="B424"/>
  <c r="F424"/>
  <c r="C465"/>
  <c r="B465"/>
  <c r="F465"/>
  <c r="C464"/>
  <c r="B464"/>
  <c r="F464"/>
  <c r="C398"/>
  <c r="B398"/>
  <c r="F398"/>
  <c r="C372"/>
  <c r="B372"/>
  <c r="F372"/>
  <c r="C397"/>
  <c r="B397"/>
  <c r="F397"/>
  <c r="C396"/>
  <c r="B396"/>
  <c r="F396"/>
  <c r="C395"/>
  <c r="B395"/>
  <c r="F395"/>
  <c r="C371"/>
  <c r="B371"/>
  <c r="F371"/>
  <c r="C373"/>
  <c r="B373"/>
  <c r="F373"/>
  <c r="C394"/>
  <c r="B394"/>
  <c r="F394"/>
  <c r="C382"/>
  <c r="B382"/>
  <c r="F382"/>
  <c r="C379"/>
  <c r="B379"/>
  <c r="F379"/>
  <c r="C393"/>
  <c r="B393"/>
  <c r="F393"/>
  <c r="C383"/>
  <c r="B383"/>
  <c r="F383"/>
  <c r="C374"/>
  <c r="B374"/>
  <c r="F374"/>
  <c r="C381"/>
  <c r="B381"/>
  <c r="F381"/>
  <c r="C392"/>
  <c r="B392"/>
  <c r="F392"/>
  <c r="C376"/>
  <c r="B376"/>
  <c r="F376"/>
  <c r="C375"/>
  <c r="B375"/>
  <c r="F375"/>
  <c r="C391"/>
  <c r="B391"/>
  <c r="F391"/>
  <c r="C390"/>
  <c r="B390"/>
  <c r="F390"/>
  <c r="C389"/>
  <c r="B389"/>
  <c r="F389"/>
  <c r="C388"/>
  <c r="B388"/>
  <c r="F388"/>
  <c r="C377"/>
  <c r="B377"/>
  <c r="F377"/>
  <c r="C387"/>
  <c r="B387"/>
  <c r="F387"/>
  <c r="C386"/>
  <c r="B386"/>
  <c r="F386"/>
  <c r="C385"/>
  <c r="B385"/>
  <c r="F385"/>
  <c r="C378"/>
  <c r="B378"/>
  <c r="F378"/>
  <c r="C380"/>
  <c r="B380"/>
  <c r="F380"/>
  <c r="C384"/>
  <c r="B384"/>
  <c r="F384"/>
  <c r="C370"/>
  <c r="B370"/>
  <c r="F370"/>
  <c r="C369"/>
  <c r="B369"/>
  <c r="F369"/>
  <c r="C368"/>
  <c r="B368"/>
  <c r="F368"/>
  <c r="C367"/>
  <c r="B367"/>
  <c r="F367"/>
  <c r="C366"/>
  <c r="B366"/>
  <c r="F366"/>
  <c r="C365"/>
  <c r="B365"/>
  <c r="F365"/>
  <c r="C364"/>
  <c r="B364"/>
  <c r="F364"/>
  <c r="C363"/>
  <c r="B363"/>
  <c r="F363"/>
  <c r="C362"/>
  <c r="B362"/>
  <c r="F362"/>
  <c r="C361"/>
  <c r="B361"/>
  <c r="F361"/>
  <c r="C360"/>
  <c r="B360"/>
  <c r="F360"/>
  <c r="C168"/>
  <c r="B168"/>
  <c r="F168"/>
  <c r="C359"/>
  <c r="B359"/>
  <c r="F359"/>
  <c r="C358"/>
  <c r="B358"/>
  <c r="F358"/>
  <c r="C357"/>
  <c r="B357"/>
  <c r="F357"/>
  <c r="C188"/>
  <c r="B188"/>
  <c r="F188"/>
  <c r="C356"/>
  <c r="B356"/>
  <c r="F356"/>
  <c r="C355"/>
  <c r="B355"/>
  <c r="F355"/>
  <c r="C354"/>
  <c r="B354"/>
  <c r="F354"/>
  <c r="C353"/>
  <c r="B353"/>
  <c r="F353"/>
  <c r="C352"/>
  <c r="B352"/>
  <c r="F352"/>
  <c r="C351"/>
  <c r="B351"/>
  <c r="F351"/>
  <c r="C350"/>
  <c r="B350"/>
  <c r="F350"/>
  <c r="C187"/>
  <c r="B187"/>
  <c r="F187"/>
  <c r="C156"/>
  <c r="B156"/>
  <c r="F156"/>
  <c r="C210"/>
  <c r="B210"/>
  <c r="F210"/>
  <c r="C349"/>
  <c r="B349"/>
  <c r="F349"/>
  <c r="C153"/>
  <c r="B153"/>
  <c r="F153"/>
  <c r="C166"/>
  <c r="B166"/>
  <c r="F166"/>
  <c r="C160"/>
  <c r="B160"/>
  <c r="F160"/>
  <c r="C348"/>
  <c r="B348"/>
  <c r="F348"/>
  <c r="C347"/>
  <c r="B347"/>
  <c r="F347"/>
  <c r="C213"/>
  <c r="B213"/>
  <c r="F213"/>
  <c r="C346"/>
  <c r="B346"/>
  <c r="F346"/>
  <c r="C204"/>
  <c r="B204"/>
  <c r="F204"/>
  <c r="C345"/>
  <c r="B345"/>
  <c r="F345"/>
  <c r="C344"/>
  <c r="B344"/>
  <c r="F344"/>
  <c r="C343"/>
  <c r="B343"/>
  <c r="F343"/>
  <c r="C342"/>
  <c r="B342"/>
  <c r="F342"/>
  <c r="C341"/>
  <c r="B341"/>
  <c r="F341"/>
  <c r="C164"/>
  <c r="B164"/>
  <c r="F164"/>
  <c r="C340"/>
  <c r="B340"/>
  <c r="F340"/>
  <c r="C339"/>
  <c r="B339"/>
  <c r="F339"/>
  <c r="C338"/>
  <c r="B338"/>
  <c r="F338"/>
  <c r="C337"/>
  <c r="B337"/>
  <c r="F337"/>
  <c r="C217"/>
  <c r="B217"/>
  <c r="F217"/>
  <c r="C170"/>
  <c r="B170"/>
  <c r="F170"/>
  <c r="C336"/>
  <c r="B336"/>
  <c r="F336"/>
  <c r="C218"/>
  <c r="B218"/>
  <c r="F218"/>
  <c r="C335"/>
  <c r="B335"/>
  <c r="F335"/>
  <c r="C192"/>
  <c r="B192"/>
  <c r="F192"/>
  <c r="C182"/>
  <c r="B182"/>
  <c r="F182"/>
  <c r="C334"/>
  <c r="B334"/>
  <c r="F334"/>
  <c r="C333"/>
  <c r="B333"/>
  <c r="F333"/>
  <c r="C332"/>
  <c r="B332"/>
  <c r="F332"/>
  <c r="C331"/>
  <c r="B331"/>
  <c r="F331"/>
  <c r="C330"/>
  <c r="B330"/>
  <c r="F330"/>
  <c r="C329"/>
  <c r="B329"/>
  <c r="F329"/>
  <c r="C180"/>
  <c r="B180"/>
  <c r="F180"/>
  <c r="C328"/>
  <c r="B328"/>
  <c r="F328"/>
  <c r="C327"/>
  <c r="B327"/>
  <c r="F327"/>
  <c r="C326"/>
  <c r="B326"/>
  <c r="F326"/>
  <c r="C325"/>
  <c r="B325"/>
  <c r="F325"/>
  <c r="C150"/>
  <c r="B150"/>
  <c r="F150"/>
  <c r="C324"/>
  <c r="B324"/>
  <c r="F324"/>
  <c r="C323"/>
  <c r="B323"/>
  <c r="F323"/>
  <c r="C172"/>
  <c r="B172"/>
  <c r="F172"/>
  <c r="C322"/>
  <c r="B322"/>
  <c r="F322"/>
  <c r="C321"/>
  <c r="B321"/>
  <c r="F321"/>
  <c r="C320"/>
  <c r="B320"/>
  <c r="F320"/>
  <c r="C202"/>
  <c r="B202"/>
  <c r="F202"/>
  <c r="C185"/>
  <c r="B185"/>
  <c r="F185"/>
  <c r="C319"/>
  <c r="B319"/>
  <c r="F319"/>
  <c r="C214"/>
  <c r="B214"/>
  <c r="F214"/>
  <c r="C207"/>
  <c r="B207"/>
  <c r="F207"/>
  <c r="C318"/>
  <c r="B318"/>
  <c r="F318"/>
  <c r="C317"/>
  <c r="B317"/>
  <c r="F317"/>
  <c r="C316"/>
  <c r="B316"/>
  <c r="F316"/>
  <c r="C315"/>
  <c r="B315"/>
  <c r="F315"/>
  <c r="C161"/>
  <c r="B161"/>
  <c r="F161"/>
  <c r="C314"/>
  <c r="B314"/>
  <c r="F314"/>
  <c r="C313"/>
  <c r="B313"/>
  <c r="F313"/>
  <c r="C312"/>
  <c r="B312"/>
  <c r="F312"/>
  <c r="C311"/>
  <c r="B311"/>
  <c r="F311"/>
  <c r="C310"/>
  <c r="B310"/>
  <c r="F310"/>
  <c r="C309"/>
  <c r="B309"/>
  <c r="F309"/>
  <c r="C227"/>
  <c r="B227"/>
  <c r="F227"/>
  <c r="C308"/>
  <c r="B308"/>
  <c r="F308"/>
  <c r="C307"/>
  <c r="B307"/>
  <c r="F307"/>
  <c r="C229"/>
  <c r="B229"/>
  <c r="F229"/>
  <c r="C306"/>
  <c r="B306"/>
  <c r="F306"/>
  <c r="C181"/>
  <c r="B181"/>
  <c r="F181"/>
  <c r="C305"/>
  <c r="B305"/>
  <c r="F305"/>
  <c r="C304"/>
  <c r="B304"/>
  <c r="F304"/>
  <c r="C303"/>
  <c r="B303"/>
  <c r="F303"/>
  <c r="C302"/>
  <c r="B302"/>
  <c r="F302"/>
  <c r="C162"/>
  <c r="B162"/>
  <c r="F162"/>
  <c r="C301"/>
  <c r="B301"/>
  <c r="F301"/>
  <c r="C189"/>
  <c r="B189"/>
  <c r="F189"/>
  <c r="C167"/>
  <c r="B167"/>
  <c r="F167"/>
  <c r="C300"/>
  <c r="B300"/>
  <c r="F300"/>
  <c r="C159"/>
  <c r="B159"/>
  <c r="F159"/>
  <c r="C201"/>
  <c r="B201"/>
  <c r="F201"/>
  <c r="C299"/>
  <c r="B299"/>
  <c r="F299"/>
  <c r="C298"/>
  <c r="B298"/>
  <c r="F298"/>
  <c r="C152"/>
  <c r="B152"/>
  <c r="F152"/>
  <c r="C297"/>
  <c r="B297"/>
  <c r="F297"/>
  <c r="C226"/>
  <c r="B226"/>
  <c r="F226"/>
  <c r="C296"/>
  <c r="B296"/>
  <c r="F296"/>
  <c r="C295"/>
  <c r="B295"/>
  <c r="F295"/>
  <c r="C220"/>
  <c r="B220"/>
  <c r="F220"/>
  <c r="C294"/>
  <c r="B294"/>
  <c r="F294"/>
  <c r="C293"/>
  <c r="B293"/>
  <c r="F293"/>
  <c r="C173"/>
  <c r="B173"/>
  <c r="F173"/>
  <c r="C171"/>
  <c r="B171"/>
  <c r="F171"/>
  <c r="C292"/>
  <c r="B292"/>
  <c r="F292"/>
  <c r="C291"/>
  <c r="B291"/>
  <c r="F291"/>
  <c r="C290"/>
  <c r="B290"/>
  <c r="F290"/>
  <c r="C176"/>
  <c r="B176"/>
  <c r="F176"/>
  <c r="C289"/>
  <c r="B289"/>
  <c r="F289"/>
  <c r="C288"/>
  <c r="B288"/>
  <c r="F288"/>
  <c r="C287"/>
  <c r="B287"/>
  <c r="F287"/>
  <c r="C286"/>
  <c r="B286"/>
  <c r="F286"/>
  <c r="C285"/>
  <c r="B285"/>
  <c r="F285"/>
  <c r="C158"/>
  <c r="B158"/>
  <c r="F158"/>
  <c r="C200"/>
  <c r="B200"/>
  <c r="F200"/>
  <c r="C209"/>
  <c r="B209"/>
  <c r="F209"/>
  <c r="C175"/>
  <c r="B175"/>
  <c r="F175"/>
  <c r="C284"/>
  <c r="B284"/>
  <c r="F284"/>
  <c r="C178"/>
  <c r="B178"/>
  <c r="F178"/>
  <c r="C283"/>
  <c r="B283"/>
  <c r="F283"/>
  <c r="C177"/>
  <c r="B177"/>
  <c r="F177"/>
  <c r="C282"/>
  <c r="B282"/>
  <c r="F282"/>
  <c r="C281"/>
  <c r="B281"/>
  <c r="F281"/>
  <c r="C195"/>
  <c r="B195"/>
  <c r="F195"/>
  <c r="C157"/>
  <c r="B157"/>
  <c r="F157"/>
  <c r="C186"/>
  <c r="B186"/>
  <c r="F186"/>
  <c r="C224"/>
  <c r="B224"/>
  <c r="F224"/>
  <c r="C280"/>
  <c r="B280"/>
  <c r="F280"/>
  <c r="C223"/>
  <c r="B223"/>
  <c r="F223"/>
  <c r="C279"/>
  <c r="B279"/>
  <c r="F279"/>
  <c r="C193"/>
  <c r="B193"/>
  <c r="F193"/>
  <c r="C174"/>
  <c r="B174"/>
  <c r="F174"/>
  <c r="C221"/>
  <c r="B221"/>
  <c r="F221"/>
  <c r="C211"/>
  <c r="B211"/>
  <c r="F211"/>
  <c r="C191"/>
  <c r="B191"/>
  <c r="F191"/>
  <c r="C278"/>
  <c r="B278"/>
  <c r="F278"/>
  <c r="C277"/>
  <c r="B277"/>
  <c r="F277"/>
  <c r="C151"/>
  <c r="B151"/>
  <c r="F151"/>
  <c r="C276"/>
  <c r="B276"/>
  <c r="F276"/>
  <c r="C275"/>
  <c r="B275"/>
  <c r="F275"/>
  <c r="C230"/>
  <c r="B230"/>
  <c r="F230"/>
  <c r="C274"/>
  <c r="B274"/>
  <c r="F274"/>
  <c r="C273"/>
  <c r="B273"/>
  <c r="F273"/>
  <c r="C272"/>
  <c r="B272"/>
  <c r="F272"/>
  <c r="C271"/>
  <c r="B271"/>
  <c r="F271"/>
  <c r="C203"/>
  <c r="B203"/>
  <c r="F203"/>
  <c r="C270"/>
  <c r="B270"/>
  <c r="F270"/>
  <c r="C179"/>
  <c r="B179"/>
  <c r="F179"/>
  <c r="C269"/>
  <c r="B269"/>
  <c r="F269"/>
  <c r="C154"/>
  <c r="B154"/>
  <c r="F154"/>
  <c r="C268"/>
  <c r="B268"/>
  <c r="F268"/>
  <c r="C267"/>
  <c r="B267"/>
  <c r="F267"/>
  <c r="C208"/>
  <c r="B208"/>
  <c r="F208"/>
  <c r="C197"/>
  <c r="B197"/>
  <c r="F197"/>
  <c r="C266"/>
  <c r="B266"/>
  <c r="F266"/>
  <c r="C205"/>
  <c r="B205"/>
  <c r="F205"/>
  <c r="C265"/>
  <c r="B265"/>
  <c r="F265"/>
  <c r="C264"/>
  <c r="B264"/>
  <c r="F264"/>
  <c r="C263"/>
  <c r="B263"/>
  <c r="F263"/>
  <c r="C225"/>
  <c r="B225"/>
  <c r="F225"/>
  <c r="C184"/>
  <c r="B184"/>
  <c r="F184"/>
  <c r="C196"/>
  <c r="B196"/>
  <c r="F196"/>
  <c r="C262"/>
  <c r="B262"/>
  <c r="F262"/>
  <c r="C169"/>
  <c r="B169"/>
  <c r="F169"/>
  <c r="C261"/>
  <c r="B261"/>
  <c r="F261"/>
  <c r="C260"/>
  <c r="B260"/>
  <c r="F260"/>
  <c r="C155"/>
  <c r="B155"/>
  <c r="F155"/>
  <c r="C259"/>
  <c r="B259"/>
  <c r="F259"/>
  <c r="C258"/>
  <c r="B258"/>
  <c r="F258"/>
  <c r="C257"/>
  <c r="B257"/>
  <c r="F257"/>
  <c r="C215"/>
  <c r="B215"/>
  <c r="F215"/>
  <c r="C256"/>
  <c r="B256"/>
  <c r="F256"/>
  <c r="C255"/>
  <c r="B255"/>
  <c r="F255"/>
  <c r="C254"/>
  <c r="B254"/>
  <c r="F254"/>
  <c r="C219"/>
  <c r="B219"/>
  <c r="F219"/>
  <c r="C165"/>
  <c r="B165"/>
  <c r="F165"/>
  <c r="C253"/>
  <c r="B253"/>
  <c r="F253"/>
  <c r="C252"/>
  <c r="B252"/>
  <c r="F252"/>
  <c r="C251"/>
  <c r="B251"/>
  <c r="F251"/>
  <c r="C250"/>
  <c r="B250"/>
  <c r="F250"/>
  <c r="C249"/>
  <c r="B249"/>
  <c r="F249"/>
  <c r="C248"/>
  <c r="B248"/>
  <c r="F248"/>
  <c r="C247"/>
  <c r="B247"/>
  <c r="F247"/>
  <c r="C222"/>
  <c r="B222"/>
  <c r="F222"/>
  <c r="C246"/>
  <c r="B246"/>
  <c r="F246"/>
  <c r="C190"/>
  <c r="B190"/>
  <c r="F190"/>
  <c r="C245"/>
  <c r="B245"/>
  <c r="F245"/>
  <c r="C244"/>
  <c r="B244"/>
  <c r="F244"/>
  <c r="C243"/>
  <c r="B243"/>
  <c r="F243"/>
  <c r="C216"/>
  <c r="B216"/>
  <c r="F216"/>
  <c r="C199"/>
  <c r="B199"/>
  <c r="F199"/>
  <c r="C194"/>
  <c r="B194"/>
  <c r="F194"/>
  <c r="C183"/>
  <c r="B183"/>
  <c r="F183"/>
  <c r="C242"/>
  <c r="B242"/>
  <c r="F242"/>
  <c r="C241"/>
  <c r="B241"/>
  <c r="F241"/>
  <c r="C240"/>
  <c r="B240"/>
  <c r="F240"/>
  <c r="C212"/>
  <c r="B212"/>
  <c r="F212"/>
  <c r="C239"/>
  <c r="B239"/>
  <c r="F239"/>
  <c r="C198"/>
  <c r="B198"/>
  <c r="F198"/>
  <c r="C238"/>
  <c r="B238"/>
  <c r="F238"/>
  <c r="C228"/>
  <c r="B228"/>
  <c r="F228"/>
  <c r="C237"/>
  <c r="B237"/>
  <c r="F237"/>
  <c r="C236"/>
  <c r="B236"/>
  <c r="F236"/>
  <c r="C235"/>
  <c r="B235"/>
  <c r="F235"/>
  <c r="C163"/>
  <c r="B163"/>
  <c r="F163"/>
  <c r="C234"/>
  <c r="B234"/>
  <c r="F234"/>
  <c r="C233"/>
  <c r="B233"/>
  <c r="F233"/>
  <c r="C206"/>
  <c r="B206"/>
  <c r="F206"/>
  <c r="C232"/>
  <c r="B232"/>
  <c r="F232"/>
  <c r="C231"/>
  <c r="B231"/>
  <c r="F231"/>
  <c r="C149"/>
  <c r="B149"/>
  <c r="F149"/>
  <c r="C148"/>
  <c r="B148"/>
  <c r="F148"/>
  <c r="C147"/>
  <c r="B147"/>
  <c r="F147"/>
  <c r="C146"/>
  <c r="B146"/>
  <c r="F146"/>
  <c r="C145"/>
  <c r="B145"/>
  <c r="F145"/>
  <c r="C115"/>
  <c r="B115"/>
  <c r="F115"/>
  <c r="C144"/>
  <c r="B144"/>
  <c r="F144"/>
  <c r="C143"/>
  <c r="B143"/>
  <c r="F143"/>
  <c r="C142"/>
  <c r="B142"/>
  <c r="F142"/>
  <c r="C141"/>
  <c r="B141"/>
  <c r="F141"/>
  <c r="C140"/>
  <c r="B140"/>
  <c r="F140"/>
  <c r="C139"/>
  <c r="B139"/>
  <c r="F139"/>
  <c r="C101"/>
  <c r="B101"/>
  <c r="F101"/>
  <c r="C118"/>
  <c r="B118"/>
  <c r="F118"/>
  <c r="C105"/>
  <c r="B105"/>
  <c r="F105"/>
  <c r="C112"/>
  <c r="B112"/>
  <c r="F112"/>
  <c r="C111"/>
  <c r="B111"/>
  <c r="F111"/>
  <c r="C106"/>
  <c r="B106"/>
  <c r="F106"/>
  <c r="C138"/>
  <c r="B138"/>
  <c r="F138"/>
  <c r="C137"/>
  <c r="B137"/>
  <c r="F137"/>
  <c r="C136"/>
  <c r="B136"/>
  <c r="F136"/>
  <c r="C104"/>
  <c r="B104"/>
  <c r="F104"/>
  <c r="C100"/>
  <c r="B100"/>
  <c r="F100"/>
  <c r="C135"/>
  <c r="B135"/>
  <c r="F135"/>
  <c r="C134"/>
  <c r="B134"/>
  <c r="F134"/>
  <c r="C133"/>
  <c r="B133"/>
  <c r="F133"/>
  <c r="C110"/>
  <c r="B110"/>
  <c r="F110"/>
  <c r="C116"/>
  <c r="B116"/>
  <c r="F116"/>
  <c r="C107"/>
  <c r="B107"/>
  <c r="F107"/>
  <c r="C132"/>
  <c r="B132"/>
  <c r="F132"/>
  <c r="C108"/>
  <c r="B108"/>
  <c r="F108"/>
  <c r="C103"/>
  <c r="B103"/>
  <c r="F103"/>
  <c r="C131"/>
  <c r="B131"/>
  <c r="F131"/>
  <c r="C120"/>
  <c r="B120"/>
  <c r="F120"/>
  <c r="C99"/>
  <c r="B99"/>
  <c r="F99"/>
  <c r="C119"/>
  <c r="B119"/>
  <c r="F119"/>
  <c r="C130"/>
  <c r="B130"/>
  <c r="F130"/>
  <c r="C129"/>
  <c r="B129"/>
  <c r="F129"/>
  <c r="C117"/>
  <c r="B117"/>
  <c r="F117"/>
  <c r="C128"/>
  <c r="B128"/>
  <c r="F128"/>
  <c r="C121"/>
  <c r="B121"/>
  <c r="F121"/>
  <c r="C127"/>
  <c r="B127"/>
  <c r="F127"/>
  <c r="C114"/>
  <c r="B114"/>
  <c r="F114"/>
  <c r="C109"/>
  <c r="B109"/>
  <c r="F109"/>
  <c r="C126"/>
  <c r="B126"/>
  <c r="F126"/>
  <c r="C125"/>
  <c r="B125"/>
  <c r="F125"/>
  <c r="C124"/>
  <c r="B124"/>
  <c r="F124"/>
  <c r="C113"/>
  <c r="B113"/>
  <c r="F113"/>
  <c r="C123"/>
  <c r="B123"/>
  <c r="F123"/>
  <c r="C122"/>
  <c r="B122"/>
  <c r="F122"/>
  <c r="C102"/>
  <c r="B102"/>
  <c r="F102"/>
  <c r="C98"/>
  <c r="B98"/>
  <c r="F98"/>
  <c r="C97"/>
  <c r="B97"/>
  <c r="F97"/>
  <c r="C96"/>
  <c r="B96"/>
  <c r="F96"/>
  <c r="C95"/>
  <c r="B95"/>
  <c r="F95"/>
  <c r="C9"/>
  <c r="B9"/>
  <c r="F9"/>
  <c r="C94"/>
  <c r="B94"/>
  <c r="F94"/>
  <c r="C93"/>
  <c r="B93"/>
  <c r="F93"/>
  <c r="C92"/>
  <c r="B92"/>
  <c r="F92"/>
  <c r="C17"/>
  <c r="B17"/>
  <c r="F17"/>
  <c r="C91"/>
  <c r="B91"/>
  <c r="F91"/>
  <c r="C90"/>
  <c r="B90"/>
  <c r="F90"/>
  <c r="C89"/>
  <c r="B89"/>
  <c r="F89"/>
  <c r="C25"/>
  <c r="B25"/>
  <c r="F25"/>
  <c r="C88"/>
  <c r="B88"/>
  <c r="F88"/>
  <c r="C14"/>
  <c r="B14"/>
  <c r="F14"/>
  <c r="C11"/>
  <c r="B11"/>
  <c r="F11"/>
  <c r="C30"/>
  <c r="B30"/>
  <c r="F30"/>
  <c r="C87"/>
  <c r="B87"/>
  <c r="F87"/>
  <c r="C31"/>
  <c r="B31"/>
  <c r="F31"/>
  <c r="C86"/>
  <c r="B86"/>
  <c r="F86"/>
  <c r="C85"/>
  <c r="B85"/>
  <c r="F85"/>
  <c r="C84"/>
  <c r="B84"/>
  <c r="F84"/>
  <c r="C83"/>
  <c r="B83"/>
  <c r="F83"/>
  <c r="C82"/>
  <c r="B82"/>
  <c r="F82"/>
  <c r="C81"/>
  <c r="B81"/>
  <c r="F81"/>
  <c r="C80"/>
  <c r="B80"/>
  <c r="F80"/>
  <c r="C79"/>
  <c r="B79"/>
  <c r="F79"/>
  <c r="C16"/>
  <c r="B16"/>
  <c r="F16"/>
  <c r="C78"/>
  <c r="B78"/>
  <c r="F78"/>
  <c r="C34"/>
  <c r="B34"/>
  <c r="F34"/>
  <c r="C77"/>
  <c r="B77"/>
  <c r="F77"/>
  <c r="C76"/>
  <c r="B76"/>
  <c r="F76"/>
  <c r="C22"/>
  <c r="B22"/>
  <c r="F22"/>
  <c r="C75"/>
  <c r="B75"/>
  <c r="F75"/>
  <c r="C74"/>
  <c r="B74"/>
  <c r="F74"/>
  <c r="C27"/>
  <c r="B27"/>
  <c r="F27"/>
  <c r="C73"/>
  <c r="B73"/>
  <c r="F73"/>
  <c r="C18"/>
  <c r="B18"/>
  <c r="F18"/>
  <c r="C28"/>
  <c r="B28"/>
  <c r="F28"/>
  <c r="C72"/>
  <c r="B72"/>
  <c r="F72"/>
  <c r="C71"/>
  <c r="B71"/>
  <c r="F71"/>
  <c r="C70"/>
  <c r="B70"/>
  <c r="F70"/>
  <c r="C26"/>
  <c r="B26"/>
  <c r="F26"/>
  <c r="C69"/>
  <c r="B69"/>
  <c r="F69"/>
  <c r="C68"/>
  <c r="B68"/>
  <c r="F68"/>
  <c r="C67"/>
  <c r="B67"/>
  <c r="F67"/>
  <c r="C66"/>
  <c r="B66"/>
  <c r="F66"/>
  <c r="C65"/>
  <c r="B65"/>
  <c r="F65"/>
  <c r="C33"/>
  <c r="B33"/>
  <c r="F33"/>
  <c r="C64"/>
  <c r="B64"/>
  <c r="F64"/>
  <c r="C63"/>
  <c r="B63"/>
  <c r="F63"/>
  <c r="C62"/>
  <c r="B62"/>
  <c r="F62"/>
  <c r="C61"/>
  <c r="B61"/>
  <c r="F61"/>
  <c r="C35"/>
  <c r="B35"/>
  <c r="F35"/>
  <c r="C3"/>
  <c r="B3"/>
  <c r="F3"/>
  <c r="C60"/>
  <c r="B60"/>
  <c r="F60"/>
  <c r="C59"/>
  <c r="B59"/>
  <c r="F59"/>
  <c r="C21"/>
  <c r="B21"/>
  <c r="F21"/>
  <c r="C8"/>
  <c r="B8"/>
  <c r="F8"/>
  <c r="C6"/>
  <c r="B6"/>
  <c r="F6"/>
  <c r="C23"/>
  <c r="B23"/>
  <c r="F23"/>
  <c r="C58"/>
  <c r="B58"/>
  <c r="F58"/>
  <c r="C57"/>
  <c r="B57"/>
  <c r="F57"/>
  <c r="C56"/>
  <c r="B56"/>
  <c r="F56"/>
  <c r="C15"/>
  <c r="B15"/>
  <c r="F15"/>
  <c r="C13"/>
  <c r="B13"/>
  <c r="F13"/>
  <c r="C55"/>
  <c r="B55"/>
  <c r="F55"/>
  <c r="C54"/>
  <c r="B54"/>
  <c r="F54"/>
  <c r="C53"/>
  <c r="B53"/>
  <c r="F53"/>
  <c r="C52"/>
  <c r="B52"/>
  <c r="F52"/>
  <c r="C20"/>
  <c r="B20"/>
  <c r="F20"/>
  <c r="C7"/>
  <c r="B7"/>
  <c r="F7"/>
  <c r="C51"/>
  <c r="B51"/>
  <c r="F51"/>
  <c r="C50"/>
  <c r="B50"/>
  <c r="F50"/>
  <c r="C49"/>
  <c r="B49"/>
  <c r="F49"/>
  <c r="C48"/>
  <c r="B48"/>
  <c r="F48"/>
  <c r="C47"/>
  <c r="B47"/>
  <c r="F47"/>
  <c r="C46"/>
  <c r="B46"/>
  <c r="F46"/>
  <c r="C4"/>
  <c r="B4"/>
  <c r="F4"/>
  <c r="C45"/>
  <c r="B45"/>
  <c r="F45"/>
  <c r="C44"/>
  <c r="B44"/>
  <c r="F44"/>
  <c r="C43"/>
  <c r="B43"/>
  <c r="F43"/>
  <c r="C42"/>
  <c r="B42"/>
  <c r="F42"/>
  <c r="C41"/>
  <c r="B41"/>
  <c r="F41"/>
  <c r="C40"/>
  <c r="B40"/>
  <c r="F40"/>
  <c r="C29"/>
  <c r="B29"/>
  <c r="F29"/>
  <c r="C5"/>
  <c r="B5"/>
  <c r="F5"/>
  <c r="C39"/>
  <c r="B39"/>
  <c r="F39"/>
  <c r="C32"/>
  <c r="B32"/>
  <c r="F32"/>
  <c r="C12"/>
  <c r="B12"/>
  <c r="F12"/>
  <c r="C38"/>
  <c r="B38"/>
  <c r="F38"/>
  <c r="C24"/>
  <c r="B24"/>
  <c r="F24"/>
  <c r="C37"/>
  <c r="B37"/>
  <c r="F37"/>
  <c r="C10"/>
  <c r="B10"/>
  <c r="F10"/>
  <c r="C19"/>
  <c r="B19"/>
  <c r="F19"/>
  <c r="C36"/>
  <c r="B36"/>
  <c r="F36"/>
</calcChain>
</file>

<file path=xl/sharedStrings.xml><?xml version="1.0" encoding="utf-8"?>
<sst xmlns="http://schemas.openxmlformats.org/spreadsheetml/2006/main" count="4092" uniqueCount="834">
  <si>
    <t>岗位代码</t>
  </si>
  <si>
    <t>岗位名称</t>
  </si>
  <si>
    <t>招聘单位</t>
  </si>
  <si>
    <t>姓名</t>
  </si>
  <si>
    <t>性别</t>
  </si>
  <si>
    <t>产业发展岗</t>
  </si>
  <si>
    <t>巴东县官渡口镇农业农村服务中心</t>
  </si>
  <si>
    <t>党群服务岗</t>
  </si>
  <si>
    <t>巴东县金果坪乡党群服务中心（金果坪乡退役军人服务站）</t>
  </si>
  <si>
    <t>退役军人服务岗</t>
  </si>
  <si>
    <t>巴东县绿葱坡镇党群服务中心（绿葱坡镇退役军人服务站）</t>
  </si>
  <si>
    <t>巴东县信陵镇农业农村服务中心</t>
  </si>
  <si>
    <t>财务会计岗位</t>
  </si>
  <si>
    <t>巴东县大支坪镇农业农村服务中心</t>
  </si>
  <si>
    <t>民族事务研究岗</t>
  </si>
  <si>
    <t>巴东县民族宗教事务服务中心</t>
  </si>
  <si>
    <t>病理科医生</t>
  </si>
  <si>
    <t>巴东县人民医院</t>
  </si>
  <si>
    <t>巴东县中医医院</t>
  </si>
  <si>
    <t>数学教师</t>
  </si>
  <si>
    <t>巴东县民族职业高级中学</t>
  </si>
  <si>
    <t>序号</t>
    <phoneticPr fontId="3" type="noConversion"/>
  </si>
  <si>
    <t>考场号</t>
    <phoneticPr fontId="1" type="noConversion"/>
  </si>
  <si>
    <t>座位号</t>
    <phoneticPr fontId="1" type="noConversion"/>
  </si>
  <si>
    <t>01</t>
  </si>
  <si>
    <t>01</t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</si>
  <si>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</si>
  <si>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t>02</t>
    <phoneticPr fontId="1" type="noConversion"/>
  </si>
  <si>
    <r>
      <t>03</t>
    </r>
    <r>
      <rPr>
        <sz val="11"/>
        <color theme="1"/>
        <rFont val="宋体"/>
        <family val="3"/>
        <charset val="134"/>
        <scheme val="minor"/>
      </rPr>
      <t/>
    </r>
  </si>
  <si>
    <t>04</t>
  </si>
  <si>
    <r>
      <t>05</t>
    </r>
    <r>
      <rPr>
        <sz val="11"/>
        <color theme="1"/>
        <rFont val="宋体"/>
        <family val="3"/>
        <charset val="134"/>
        <scheme val="minor"/>
      </rPr>
      <t/>
    </r>
  </si>
  <si>
    <t>06</t>
  </si>
  <si>
    <r>
      <t>07</t>
    </r>
    <r>
      <rPr>
        <sz val="11"/>
        <color theme="1"/>
        <rFont val="宋体"/>
        <family val="3"/>
        <charset val="134"/>
        <scheme val="minor"/>
      </rPr>
      <t/>
    </r>
  </si>
  <si>
    <t>08</t>
  </si>
  <si>
    <r>
      <t>09</t>
    </r>
    <r>
      <rPr>
        <sz val="11"/>
        <color theme="1"/>
        <rFont val="宋体"/>
        <family val="3"/>
        <charset val="134"/>
        <scheme val="minor"/>
      </rPr>
      <t/>
    </r>
  </si>
  <si>
    <t>10</t>
  </si>
  <si>
    <r>
      <t>11</t>
    </r>
    <r>
      <rPr>
        <sz val="11"/>
        <color theme="1"/>
        <rFont val="宋体"/>
        <family val="3"/>
        <charset val="134"/>
        <scheme val="minor"/>
      </rPr>
      <t/>
    </r>
  </si>
  <si>
    <t>12</t>
  </si>
  <si>
    <r>
      <t>13</t>
    </r>
    <r>
      <rPr>
        <sz val="11"/>
        <color theme="1"/>
        <rFont val="宋体"/>
        <family val="3"/>
        <charset val="134"/>
        <scheme val="minor"/>
      </rPr>
      <t/>
    </r>
  </si>
  <si>
    <t>14</t>
  </si>
  <si>
    <r>
      <t>15</t>
    </r>
    <r>
      <rPr>
        <sz val="11"/>
        <color theme="1"/>
        <rFont val="宋体"/>
        <family val="3"/>
        <charset val="134"/>
        <scheme val="minor"/>
      </rPr>
      <t/>
    </r>
  </si>
  <si>
    <t>16</t>
  </si>
  <si>
    <r>
      <t>17</t>
    </r>
    <r>
      <rPr>
        <sz val="11"/>
        <color theme="1"/>
        <rFont val="宋体"/>
        <family val="3"/>
        <charset val="134"/>
        <scheme val="minor"/>
      </rPr>
      <t/>
    </r>
  </si>
  <si>
    <t>18</t>
  </si>
  <si>
    <r>
      <t>19</t>
    </r>
    <r>
      <rPr>
        <sz val="11"/>
        <color theme="1"/>
        <rFont val="宋体"/>
        <family val="3"/>
        <charset val="134"/>
        <scheme val="minor"/>
      </rPr>
      <t/>
    </r>
  </si>
  <si>
    <t>20</t>
  </si>
  <si>
    <r>
      <t>21</t>
    </r>
    <r>
      <rPr>
        <sz val="11"/>
        <color theme="1"/>
        <rFont val="宋体"/>
        <family val="3"/>
        <charset val="134"/>
        <scheme val="minor"/>
      </rPr>
      <t/>
    </r>
  </si>
  <si>
    <t>22</t>
  </si>
  <si>
    <r>
      <t>23</t>
    </r>
    <r>
      <rPr>
        <sz val="11"/>
        <color theme="1"/>
        <rFont val="宋体"/>
        <family val="3"/>
        <charset val="134"/>
        <scheme val="minor"/>
      </rPr>
      <t/>
    </r>
  </si>
  <si>
    <t>24</t>
  </si>
  <si>
    <r>
      <t>25</t>
    </r>
    <r>
      <rPr>
        <sz val="11"/>
        <color theme="1"/>
        <rFont val="宋体"/>
        <family val="3"/>
        <charset val="134"/>
        <scheme val="minor"/>
      </rPr>
      <t/>
    </r>
  </si>
  <si>
    <t>26</t>
  </si>
  <si>
    <r>
      <t>27</t>
    </r>
    <r>
      <rPr>
        <sz val="11"/>
        <color theme="1"/>
        <rFont val="宋体"/>
        <family val="3"/>
        <charset val="134"/>
        <scheme val="minor"/>
      </rPr>
      <t/>
    </r>
  </si>
  <si>
    <t>准考证号</t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</si>
  <si>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1" type="noConversion"/>
  </si>
  <si>
    <r>
      <t>04</t>
    </r>
    <r>
      <rPr>
        <sz val="11"/>
        <color theme="1"/>
        <rFont val="宋体"/>
        <family val="3"/>
        <charset val="134"/>
        <scheme val="minor"/>
      </rPr>
      <t/>
    </r>
  </si>
  <si>
    <r>
      <t>06</t>
    </r>
    <r>
      <rPr>
        <sz val="11"/>
        <color theme="1"/>
        <rFont val="宋体"/>
        <family val="3"/>
        <charset val="134"/>
        <scheme val="minor"/>
      </rPr>
      <t/>
    </r>
  </si>
  <si>
    <r>
      <t>08</t>
    </r>
    <r>
      <rPr>
        <sz val="11"/>
        <color theme="1"/>
        <rFont val="宋体"/>
        <family val="3"/>
        <charset val="134"/>
        <scheme val="minor"/>
      </rPr>
      <t/>
    </r>
  </si>
  <si>
    <r>
      <t>10</t>
    </r>
    <r>
      <rPr>
        <sz val="11"/>
        <color theme="1"/>
        <rFont val="宋体"/>
        <family val="3"/>
        <charset val="134"/>
        <scheme val="minor"/>
      </rPr>
      <t/>
    </r>
  </si>
  <si>
    <r>
      <t>12</t>
    </r>
    <r>
      <rPr>
        <sz val="11"/>
        <color theme="1"/>
        <rFont val="宋体"/>
        <family val="3"/>
        <charset val="134"/>
        <scheme val="minor"/>
      </rPr>
      <t/>
    </r>
  </si>
  <si>
    <r>
      <t>14</t>
    </r>
    <r>
      <rPr>
        <sz val="11"/>
        <color theme="1"/>
        <rFont val="宋体"/>
        <family val="3"/>
        <charset val="134"/>
        <scheme val="minor"/>
      </rPr>
      <t/>
    </r>
  </si>
  <si>
    <r>
      <t>16</t>
    </r>
    <r>
      <rPr>
        <sz val="11"/>
        <color theme="1"/>
        <rFont val="宋体"/>
        <family val="3"/>
        <charset val="134"/>
        <scheme val="minor"/>
      </rPr>
      <t/>
    </r>
  </si>
  <si>
    <r>
      <t>18</t>
    </r>
    <r>
      <rPr>
        <sz val="11"/>
        <color theme="1"/>
        <rFont val="宋体"/>
        <family val="3"/>
        <charset val="134"/>
        <scheme val="minor"/>
      </rPr>
      <t/>
    </r>
  </si>
  <si>
    <r>
      <t>20</t>
    </r>
    <r>
      <rPr>
        <sz val="11"/>
        <color theme="1"/>
        <rFont val="宋体"/>
        <family val="3"/>
        <charset val="134"/>
        <scheme val="minor"/>
      </rPr>
      <t/>
    </r>
  </si>
  <si>
    <r>
      <t>22</t>
    </r>
    <r>
      <rPr>
        <sz val="11"/>
        <color theme="1"/>
        <rFont val="宋体"/>
        <family val="3"/>
        <charset val="134"/>
        <scheme val="minor"/>
      </rPr>
      <t/>
    </r>
  </si>
  <si>
    <r>
      <t>24</t>
    </r>
    <r>
      <rPr>
        <sz val="11"/>
        <color theme="1"/>
        <rFont val="宋体"/>
        <family val="3"/>
        <charset val="134"/>
        <scheme val="minor"/>
      </rPr>
      <t/>
    </r>
  </si>
  <si>
    <r>
      <t>26</t>
    </r>
    <r>
      <rPr>
        <sz val="11"/>
        <color theme="1"/>
        <rFont val="宋体"/>
        <family val="3"/>
        <charset val="134"/>
        <scheme val="minor"/>
      </rPr>
      <t/>
    </r>
  </si>
  <si>
    <r>
      <t>28</t>
    </r>
    <r>
      <rPr>
        <sz val="11"/>
        <color theme="1"/>
        <rFont val="宋体"/>
        <family val="3"/>
        <charset val="134"/>
        <scheme val="minor"/>
      </rPr>
      <t/>
    </r>
  </si>
  <si>
    <r>
      <t>02</t>
    </r>
    <r>
      <rPr>
        <sz val="11"/>
        <color theme="1"/>
        <rFont val="宋体"/>
        <family val="3"/>
        <charset val="134"/>
        <scheme val="minor"/>
      </rPr>
      <t/>
    </r>
  </si>
  <si>
    <r>
      <t>01</t>
    </r>
    <r>
      <rPr>
        <sz val="11"/>
        <color theme="1"/>
        <rFont val="宋体"/>
        <family val="3"/>
        <charset val="134"/>
        <scheme val="minor"/>
      </rPr>
      <t/>
    </r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</si>
  <si>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1" type="noConversion"/>
  </si>
  <si>
    <r>
      <t>29</t>
    </r>
    <r>
      <rPr>
        <sz val="11"/>
        <color theme="1"/>
        <rFont val="宋体"/>
        <family val="3"/>
        <charset val="134"/>
        <scheme val="minor"/>
      </rPr>
      <t/>
    </r>
  </si>
  <si>
    <r>
      <t>30</t>
    </r>
    <r>
      <rPr>
        <sz val="11"/>
        <color theme="1"/>
        <rFont val="宋体"/>
        <family val="3"/>
        <charset val="134"/>
        <scheme val="minor"/>
      </rPr>
      <t/>
    </r>
  </si>
  <si>
    <t>03</t>
  </si>
  <si>
    <t>03</t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</si>
  <si>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</si>
  <si>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</si>
  <si>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</si>
  <si>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</si>
  <si>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</si>
  <si>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7</t>
    </r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</si>
  <si>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8</t>
    </r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</si>
  <si>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9</t>
    </r>
    <phoneticPr fontId="1" type="noConversion"/>
  </si>
  <si>
    <t>10</t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</si>
  <si>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0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</si>
  <si>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</si>
  <si>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2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</si>
  <si>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</si>
  <si>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</si>
  <si>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5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</si>
  <si>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6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</si>
  <si>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7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</si>
  <si>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8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</si>
  <si>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9</t>
    </r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</si>
  <si>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</t>
    </r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</si>
  <si>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</si>
  <si>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2</t>
    </r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</si>
  <si>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3</t>
    </r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</si>
  <si>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4</t>
    </r>
    <phoneticPr fontId="1" type="noConversion"/>
  </si>
  <si>
    <r>
      <t>2</t>
    </r>
    <r>
      <rPr>
        <sz val="11"/>
        <color theme="1"/>
        <rFont val="宋体"/>
        <family val="3"/>
        <charset val="134"/>
        <scheme val="minor"/>
      </rPr>
      <t>5</t>
    </r>
    <phoneticPr fontId="1" type="noConversion"/>
  </si>
  <si>
    <t>20240210102</t>
  </si>
  <si>
    <t>20240210103</t>
  </si>
  <si>
    <t>20240210104</t>
  </si>
  <si>
    <t>20240210105</t>
  </si>
  <si>
    <t>20240210106</t>
  </si>
  <si>
    <t>20240210107</t>
  </si>
  <si>
    <t>20240210108</t>
  </si>
  <si>
    <t>20240210109</t>
  </si>
  <si>
    <t>20240210110</t>
  </si>
  <si>
    <t>20240210111</t>
  </si>
  <si>
    <t>20240210112</t>
  </si>
  <si>
    <t>20240210113</t>
  </si>
  <si>
    <t>20240210114</t>
  </si>
  <si>
    <t>20240210115</t>
  </si>
  <si>
    <t>20240210116</t>
  </si>
  <si>
    <t>20240210117</t>
  </si>
  <si>
    <t>20240210118</t>
  </si>
  <si>
    <t>20240210119</t>
  </si>
  <si>
    <t>20240210120</t>
  </si>
  <si>
    <t>20240210121</t>
  </si>
  <si>
    <t>20240210122</t>
  </si>
  <si>
    <t>20240210123</t>
  </si>
  <si>
    <t>20240210124</t>
  </si>
  <si>
    <t>20240210125</t>
  </si>
  <si>
    <t>20240210126</t>
  </si>
  <si>
    <t>20240210127</t>
  </si>
  <si>
    <t>20240210128</t>
  </si>
  <si>
    <t>20240230201</t>
  </si>
  <si>
    <t>20240230202</t>
  </si>
  <si>
    <t>20240230203</t>
  </si>
  <si>
    <t>20240230204</t>
  </si>
  <si>
    <t>20240230205</t>
  </si>
  <si>
    <t>20240230206</t>
  </si>
  <si>
    <t>20240230207</t>
  </si>
  <si>
    <t>20240230208</t>
  </si>
  <si>
    <t>20240230209</t>
  </si>
  <si>
    <t>20240230210</t>
  </si>
  <si>
    <t>20240230211</t>
  </si>
  <si>
    <t>20240230212</t>
  </si>
  <si>
    <t>20240230213</t>
  </si>
  <si>
    <t>20240230214</t>
  </si>
  <si>
    <t>20240230215</t>
  </si>
  <si>
    <t>20240230216</t>
  </si>
  <si>
    <t>20240230217</t>
  </si>
  <si>
    <t>20240230218</t>
  </si>
  <si>
    <t>20240230219</t>
  </si>
  <si>
    <t>20240230220</t>
  </si>
  <si>
    <t>20240230221</t>
  </si>
  <si>
    <t>20240230222</t>
  </si>
  <si>
    <t>20240230223</t>
  </si>
  <si>
    <t>20240230224</t>
  </si>
  <si>
    <t>20240230225</t>
  </si>
  <si>
    <t>20240230226</t>
  </si>
  <si>
    <t>20240230227</t>
  </si>
  <si>
    <t>20240180301</t>
  </si>
  <si>
    <t>20240180302</t>
  </si>
  <si>
    <t>20240180303</t>
  </si>
  <si>
    <t>20240180304</t>
  </si>
  <si>
    <t>20240180305</t>
  </si>
  <si>
    <t>20240180306</t>
  </si>
  <si>
    <t>20240180307</t>
  </si>
  <si>
    <t>20240180308</t>
  </si>
  <si>
    <t>20240180309</t>
  </si>
  <si>
    <t>20240180310</t>
  </si>
  <si>
    <t>20240180311</t>
  </si>
  <si>
    <t>20240180312</t>
  </si>
  <si>
    <t>20240180313</t>
  </si>
  <si>
    <t>20240180314</t>
  </si>
  <si>
    <t>20240180315</t>
  </si>
  <si>
    <t>20240180316</t>
  </si>
  <si>
    <t>20240180317</t>
  </si>
  <si>
    <t>20240180318</t>
  </si>
  <si>
    <t>20240180319</t>
  </si>
  <si>
    <t>20240180320</t>
  </si>
  <si>
    <t>20240180321</t>
  </si>
  <si>
    <t>20240180322</t>
  </si>
  <si>
    <t>20240180323</t>
  </si>
  <si>
    <t>20240180324</t>
  </si>
  <si>
    <t>20240180325</t>
  </si>
  <si>
    <t>20240180326</t>
  </si>
  <si>
    <t>20240180327</t>
  </si>
  <si>
    <t>20240180328</t>
  </si>
  <si>
    <t>20240180329</t>
  </si>
  <si>
    <t>20240180330</t>
  </si>
  <si>
    <t>20240180401</t>
  </si>
  <si>
    <t>20240180402</t>
  </si>
  <si>
    <t>20240180403</t>
  </si>
  <si>
    <t>20240180404</t>
  </si>
  <si>
    <t>20240180405</t>
  </si>
  <si>
    <t>20240180406</t>
  </si>
  <si>
    <t>20240180407</t>
  </si>
  <si>
    <t>20240180408</t>
  </si>
  <si>
    <t>20240180409</t>
  </si>
  <si>
    <t>20240180410</t>
  </si>
  <si>
    <t>20240180411</t>
  </si>
  <si>
    <t>20240180412</t>
  </si>
  <si>
    <t>20240180413</t>
  </si>
  <si>
    <t>20240180414</t>
  </si>
  <si>
    <t>20240180415</t>
  </si>
  <si>
    <t>20240180416</t>
  </si>
  <si>
    <t>20240180417</t>
  </si>
  <si>
    <t>20240180418</t>
  </si>
  <si>
    <t>20240180419</t>
  </si>
  <si>
    <t>20240180420</t>
  </si>
  <si>
    <t>20240180421</t>
  </si>
  <si>
    <t>20240180422</t>
  </si>
  <si>
    <t>20240180423</t>
  </si>
  <si>
    <t>20240180424</t>
  </si>
  <si>
    <t>20240180425</t>
  </si>
  <si>
    <t>20240180426</t>
  </si>
  <si>
    <t>20240180427</t>
  </si>
  <si>
    <t>20240180428</t>
  </si>
  <si>
    <t>20240180429</t>
  </si>
  <si>
    <t>20240180430</t>
  </si>
  <si>
    <t>20240180501</t>
  </si>
  <si>
    <t>20240180502</t>
  </si>
  <si>
    <t>20240180503</t>
  </si>
  <si>
    <t>20240180504</t>
  </si>
  <si>
    <t>20240180505</t>
  </si>
  <si>
    <t>20240180506</t>
  </si>
  <si>
    <t>20240180507</t>
  </si>
  <si>
    <t>20240180508</t>
  </si>
  <si>
    <t>20240180509</t>
  </si>
  <si>
    <t>20240180510</t>
  </si>
  <si>
    <t>20240180511</t>
  </si>
  <si>
    <t>20240180512</t>
  </si>
  <si>
    <t>20240180513</t>
  </si>
  <si>
    <t>20240180514</t>
  </si>
  <si>
    <t>20240180515</t>
  </si>
  <si>
    <t>20240180516</t>
  </si>
  <si>
    <t>20240180517</t>
  </si>
  <si>
    <t>20240180518</t>
  </si>
  <si>
    <t>20240180519</t>
  </si>
  <si>
    <t>20240180520</t>
  </si>
  <si>
    <t>20240180521</t>
  </si>
  <si>
    <t>20240180522</t>
  </si>
  <si>
    <t>20240180523</t>
  </si>
  <si>
    <t>20240180524</t>
  </si>
  <si>
    <t>20240180525</t>
  </si>
  <si>
    <t>20240180526</t>
  </si>
  <si>
    <t>20240180527</t>
  </si>
  <si>
    <t>20240180528</t>
  </si>
  <si>
    <t>20240180529</t>
  </si>
  <si>
    <t>20240180530</t>
  </si>
  <si>
    <t>20240180601</t>
  </si>
  <si>
    <t>20240180602</t>
  </si>
  <si>
    <t>20240180603</t>
  </si>
  <si>
    <t>20240180604</t>
  </si>
  <si>
    <t>20240180605</t>
  </si>
  <si>
    <t>20240180606</t>
  </si>
  <si>
    <t>20240190607</t>
  </si>
  <si>
    <t>20240190608</t>
  </si>
  <si>
    <t>20240190609</t>
  </si>
  <si>
    <t>20240190610</t>
  </si>
  <si>
    <t>20240190611</t>
  </si>
  <si>
    <t>20240190612</t>
  </si>
  <si>
    <t>20240190613</t>
  </si>
  <si>
    <t>20240190614</t>
  </si>
  <si>
    <t>20240190615</t>
  </si>
  <si>
    <t>20240190616</t>
  </si>
  <si>
    <t>20240190617</t>
  </si>
  <si>
    <t>20240190618</t>
  </si>
  <si>
    <t>20240190619</t>
  </si>
  <si>
    <t>20240190620</t>
  </si>
  <si>
    <t>20240190621</t>
  </si>
  <si>
    <t>20240190622</t>
  </si>
  <si>
    <t>20240190623</t>
  </si>
  <si>
    <t>20240190624</t>
  </si>
  <si>
    <t>20240190625</t>
  </si>
  <si>
    <t>20240190626</t>
  </si>
  <si>
    <t>20240190627</t>
  </si>
  <si>
    <t>20240190701</t>
  </si>
  <si>
    <t>20240190702</t>
  </si>
  <si>
    <t>20240190703</t>
  </si>
  <si>
    <t>20240190704</t>
  </si>
  <si>
    <t>20240190705</t>
  </si>
  <si>
    <t>20240190706</t>
  </si>
  <si>
    <t>20240190707</t>
  </si>
  <si>
    <t>20240190708</t>
  </si>
  <si>
    <t>20240190709</t>
  </si>
  <si>
    <t>20240190710</t>
  </si>
  <si>
    <t>20240190711</t>
  </si>
  <si>
    <t>20240190712</t>
  </si>
  <si>
    <t>20240190713</t>
  </si>
  <si>
    <t>20240190714</t>
  </si>
  <si>
    <t>20240190715</t>
  </si>
  <si>
    <t>20240190716</t>
  </si>
  <si>
    <t>20240190717</t>
  </si>
  <si>
    <t>20240190718</t>
  </si>
  <si>
    <t>20240190719</t>
  </si>
  <si>
    <t>20240190720</t>
  </si>
  <si>
    <t>20240190721</t>
  </si>
  <si>
    <t>20240190722</t>
  </si>
  <si>
    <t>20240190723</t>
  </si>
  <si>
    <t>20240190724</t>
  </si>
  <si>
    <t>20240190725</t>
  </si>
  <si>
    <t>20240190726</t>
  </si>
  <si>
    <t>20240190727</t>
  </si>
  <si>
    <t>20240190728</t>
  </si>
  <si>
    <t>20240190729</t>
  </si>
  <si>
    <t>20240190730</t>
  </si>
  <si>
    <t>20240200801</t>
  </si>
  <si>
    <t>20240200802</t>
  </si>
  <si>
    <t>20240200803</t>
  </si>
  <si>
    <t>20240200804</t>
  </si>
  <si>
    <t>20240200805</t>
  </si>
  <si>
    <t>20240200806</t>
  </si>
  <si>
    <t>20240200807</t>
  </si>
  <si>
    <t>20240200808</t>
  </si>
  <si>
    <t>20240200809</t>
  </si>
  <si>
    <t>20240200810</t>
  </si>
  <si>
    <t>20240200811</t>
  </si>
  <si>
    <t>20240200812</t>
  </si>
  <si>
    <t>20240200813</t>
  </si>
  <si>
    <t>20240200814</t>
  </si>
  <si>
    <t>20240200815</t>
  </si>
  <si>
    <t>20240200816</t>
  </si>
  <si>
    <t>20240200817</t>
  </si>
  <si>
    <t>20240200818</t>
  </si>
  <si>
    <t>20240200819</t>
  </si>
  <si>
    <t>20240200820</t>
  </si>
  <si>
    <t>20240200821</t>
  </si>
  <si>
    <t>20240200822</t>
  </si>
  <si>
    <t>20240200823</t>
  </si>
  <si>
    <t>20240200824</t>
  </si>
  <si>
    <t>20240200825</t>
  </si>
  <si>
    <t>20240200826</t>
  </si>
  <si>
    <t>20240200827</t>
  </si>
  <si>
    <t>20240200828</t>
  </si>
  <si>
    <t>20240200829</t>
  </si>
  <si>
    <t>20240200830</t>
  </si>
  <si>
    <t>20240200901</t>
  </si>
  <si>
    <t>20240200902</t>
  </si>
  <si>
    <t>20240200903</t>
  </si>
  <si>
    <t>20240200904</t>
  </si>
  <si>
    <t>20240200905</t>
  </si>
  <si>
    <t>20240200906</t>
  </si>
  <si>
    <t>20240200907</t>
  </si>
  <si>
    <t>20240200908</t>
  </si>
  <si>
    <t>20240200909</t>
  </si>
  <si>
    <t>20240200910</t>
  </si>
  <si>
    <t>20240200911</t>
  </si>
  <si>
    <t>20240200912</t>
  </si>
  <si>
    <t>20240200913</t>
  </si>
  <si>
    <t>20240200914</t>
  </si>
  <si>
    <t>20240200915</t>
  </si>
  <si>
    <t>20240200916</t>
  </si>
  <si>
    <t>20240200917</t>
  </si>
  <si>
    <t>20240200918</t>
  </si>
  <si>
    <t>20240200919</t>
  </si>
  <si>
    <t>20240200920</t>
  </si>
  <si>
    <t>20240200921</t>
  </si>
  <si>
    <t>20240200922</t>
  </si>
  <si>
    <t>20240200923</t>
  </si>
  <si>
    <t>20240200924</t>
  </si>
  <si>
    <t>20240200925</t>
  </si>
  <si>
    <t>20240200926</t>
  </si>
  <si>
    <t>20240200927</t>
  </si>
  <si>
    <t>20240200928</t>
  </si>
  <si>
    <t>20240200929</t>
  </si>
  <si>
    <t>20240200930</t>
  </si>
  <si>
    <t>20240201001</t>
  </si>
  <si>
    <t>20240201002</t>
  </si>
  <si>
    <t>20240201003</t>
  </si>
  <si>
    <t>20240201004</t>
  </si>
  <si>
    <t>20240201005</t>
  </si>
  <si>
    <t>20240201006</t>
  </si>
  <si>
    <t>20240201007</t>
  </si>
  <si>
    <t>20240201008</t>
  </si>
  <si>
    <t>20240201009</t>
  </si>
  <si>
    <t>20240201010</t>
  </si>
  <si>
    <t>20240201011</t>
  </si>
  <si>
    <t>20240201012</t>
  </si>
  <si>
    <t>20240201013</t>
  </si>
  <si>
    <t>20240201014</t>
  </si>
  <si>
    <t>20240201015</t>
  </si>
  <si>
    <t>20240201016</t>
  </si>
  <si>
    <t>20240201017</t>
  </si>
  <si>
    <t>20240201018</t>
  </si>
  <si>
    <t>20240201019</t>
  </si>
  <si>
    <t>20240201020</t>
  </si>
  <si>
    <t>20240201021</t>
  </si>
  <si>
    <t>20240201022</t>
  </si>
  <si>
    <t>20240201023</t>
  </si>
  <si>
    <t>20240201024</t>
  </si>
  <si>
    <t>20240201025</t>
  </si>
  <si>
    <t>20240201026</t>
  </si>
  <si>
    <t>20240201027</t>
  </si>
  <si>
    <t>20240201028</t>
  </si>
  <si>
    <t>20240201029</t>
  </si>
  <si>
    <t>20240201030</t>
  </si>
  <si>
    <t>20240201101</t>
  </si>
  <si>
    <t>20240201102</t>
  </si>
  <si>
    <t>20240201103</t>
  </si>
  <si>
    <t>20240201104</t>
  </si>
  <si>
    <t>20240201105</t>
  </si>
  <si>
    <t>20240201106</t>
  </si>
  <si>
    <t>20240201107</t>
  </si>
  <si>
    <t>20240201108</t>
  </si>
  <si>
    <t>20240201109</t>
  </si>
  <si>
    <t>20240201110</t>
  </si>
  <si>
    <t>20240201111</t>
  </si>
  <si>
    <t>20240201112</t>
  </si>
  <si>
    <t>20240201113</t>
  </si>
  <si>
    <t>20240201114</t>
  </si>
  <si>
    <t>20240201115</t>
  </si>
  <si>
    <t>20240201116</t>
  </si>
  <si>
    <t>20240201117</t>
  </si>
  <si>
    <t>20240201118</t>
  </si>
  <si>
    <t>20240201119</t>
  </si>
  <si>
    <t>20240201120</t>
  </si>
  <si>
    <t>20240201121</t>
  </si>
  <si>
    <t>20240201122</t>
  </si>
  <si>
    <t>20240201123</t>
  </si>
  <si>
    <t>20240201124</t>
  </si>
  <si>
    <t>20240201125</t>
  </si>
  <si>
    <t>20240201126</t>
  </si>
  <si>
    <t>20240201127</t>
  </si>
  <si>
    <t>20240201128</t>
  </si>
  <si>
    <t>20240201129</t>
  </si>
  <si>
    <t>20240201130</t>
  </si>
  <si>
    <t>20240201201</t>
  </si>
  <si>
    <t>20240201202</t>
  </si>
  <si>
    <t>20240201203</t>
  </si>
  <si>
    <t>20240201204</t>
  </si>
  <si>
    <t>20240201205</t>
  </si>
  <si>
    <t>20240201206</t>
  </si>
  <si>
    <t>20240201207</t>
  </si>
  <si>
    <t>20240201208</t>
  </si>
  <si>
    <t>20240201209</t>
  </si>
  <si>
    <t>20240201210</t>
  </si>
  <si>
    <t>20240201211</t>
  </si>
  <si>
    <t>20240201212</t>
  </si>
  <si>
    <t>20240201213</t>
  </si>
  <si>
    <t>20240201214</t>
  </si>
  <si>
    <t>20240201215</t>
  </si>
  <si>
    <t>20240201216</t>
  </si>
  <si>
    <t>20240201217</t>
  </si>
  <si>
    <t>20240201218</t>
  </si>
  <si>
    <t>20240201219</t>
  </si>
  <si>
    <t>20240201220</t>
  </si>
  <si>
    <t>20240201221</t>
  </si>
  <si>
    <t>20240201222</t>
  </si>
  <si>
    <t>20240201223</t>
  </si>
  <si>
    <t>20240201224</t>
  </si>
  <si>
    <t>20240201225</t>
  </si>
  <si>
    <t>20240201226</t>
  </si>
  <si>
    <t>20240201227</t>
  </si>
  <si>
    <t>20240201228</t>
  </si>
  <si>
    <t>20240201229</t>
  </si>
  <si>
    <t>20240201230</t>
  </si>
  <si>
    <t>20240201301</t>
  </si>
  <si>
    <t>20240201302</t>
  </si>
  <si>
    <t>20240201303</t>
  </si>
  <si>
    <t>20240201304</t>
  </si>
  <si>
    <t>20240201305</t>
  </si>
  <si>
    <t>20240201306</t>
  </si>
  <si>
    <t>20240201307</t>
  </si>
  <si>
    <t>20240201308</t>
  </si>
  <si>
    <t>20240201309</t>
  </si>
  <si>
    <t>20240201310</t>
  </si>
  <si>
    <t>20240201311</t>
  </si>
  <si>
    <t>20240201312</t>
  </si>
  <si>
    <t>20240201313</t>
  </si>
  <si>
    <t>20240201314</t>
  </si>
  <si>
    <t>20240201315</t>
  </si>
  <si>
    <t>20240201316</t>
  </si>
  <si>
    <t>20240201317</t>
  </si>
  <si>
    <t>20240201318</t>
  </si>
  <si>
    <t>20240201319</t>
  </si>
  <si>
    <t>20240201320</t>
  </si>
  <si>
    <t>20240201321</t>
  </si>
  <si>
    <t>20240201322</t>
  </si>
  <si>
    <t>20240201323</t>
  </si>
  <si>
    <t>20240201324</t>
  </si>
  <si>
    <t>20240201325</t>
  </si>
  <si>
    <t>20240201326</t>
  </si>
  <si>
    <t>20240201327</t>
  </si>
  <si>
    <t>20240201328</t>
  </si>
  <si>
    <t>20240201329</t>
  </si>
  <si>
    <t>20240201330</t>
  </si>
  <si>
    <t>20240201401</t>
  </si>
  <si>
    <t>20240201402</t>
  </si>
  <si>
    <t>20240201403</t>
  </si>
  <si>
    <t>20240201404</t>
  </si>
  <si>
    <t>20240201405</t>
  </si>
  <si>
    <t>20240201406</t>
  </si>
  <si>
    <t>20240201407</t>
  </si>
  <si>
    <t>20240201408</t>
  </si>
  <si>
    <t>20240201409</t>
  </si>
  <si>
    <t>20240201410</t>
  </si>
  <si>
    <t>20240201411</t>
  </si>
  <si>
    <t>20240201412</t>
  </si>
  <si>
    <t>20240201413</t>
  </si>
  <si>
    <t>20240201414</t>
  </si>
  <si>
    <t>20240201415</t>
  </si>
  <si>
    <t>20240201416</t>
  </si>
  <si>
    <t>20240201417</t>
  </si>
  <si>
    <t>20240201418</t>
  </si>
  <si>
    <t>20240201419</t>
  </si>
  <si>
    <t>20240201420</t>
  </si>
  <si>
    <t>20240201421</t>
  </si>
  <si>
    <t>20240201422</t>
  </si>
  <si>
    <t>20240201423</t>
  </si>
  <si>
    <t>20240201424</t>
  </si>
  <si>
    <t>20240201425</t>
  </si>
  <si>
    <t>20240201426</t>
  </si>
  <si>
    <t>20240201427</t>
  </si>
  <si>
    <t>20240201428</t>
  </si>
  <si>
    <t>20240201429</t>
  </si>
  <si>
    <t>20240201430</t>
  </si>
  <si>
    <t>20240201501</t>
  </si>
  <si>
    <t>20240201502</t>
  </si>
  <si>
    <t>20240201503</t>
  </si>
  <si>
    <t>20240201504</t>
  </si>
  <si>
    <t>20240201505</t>
  </si>
  <si>
    <t>20240201506</t>
  </si>
  <si>
    <t>20240201507</t>
  </si>
  <si>
    <t>20240201508</t>
  </si>
  <si>
    <t>20240201509</t>
  </si>
  <si>
    <t>20240201510</t>
  </si>
  <si>
    <t>20240201511</t>
  </si>
  <si>
    <t>20240221512</t>
  </si>
  <si>
    <t>20240221513</t>
  </si>
  <si>
    <t>20240221514</t>
  </si>
  <si>
    <t>20240221515</t>
  </si>
  <si>
    <t>20240221516</t>
  </si>
  <si>
    <t>20240221517</t>
  </si>
  <si>
    <t>20240221518</t>
  </si>
  <si>
    <t>20240221519</t>
  </si>
  <si>
    <t>20240221520</t>
  </si>
  <si>
    <t>20240221521</t>
  </si>
  <si>
    <t>20240221522</t>
  </si>
  <si>
    <t>20240221523</t>
  </si>
  <si>
    <t>20240221524</t>
  </si>
  <si>
    <t>20240221525</t>
  </si>
  <si>
    <t>20240221526</t>
  </si>
  <si>
    <t>20240221527</t>
  </si>
  <si>
    <t>20240221528</t>
  </si>
  <si>
    <t>20240221529</t>
  </si>
  <si>
    <t>20240221530</t>
  </si>
  <si>
    <t>20240221601</t>
  </si>
  <si>
    <t>20240221602</t>
  </si>
  <si>
    <t>20240221603</t>
  </si>
  <si>
    <t>20240221604</t>
  </si>
  <si>
    <t>20240221605</t>
  </si>
  <si>
    <t>20240221606</t>
  </si>
  <si>
    <t>20240221607</t>
  </si>
  <si>
    <t>20240221608</t>
  </si>
  <si>
    <t>20240221609</t>
  </si>
  <si>
    <t>20240221610</t>
  </si>
  <si>
    <t>20240221611</t>
  </si>
  <si>
    <t>20240221612</t>
  </si>
  <si>
    <t>20240221613</t>
  </si>
  <si>
    <t>20240221614</t>
  </si>
  <si>
    <t>20240221615</t>
  </si>
  <si>
    <t>20240221616</t>
  </si>
  <si>
    <t>20240221617</t>
  </si>
  <si>
    <t>20240221618</t>
  </si>
  <si>
    <t>20240221619</t>
  </si>
  <si>
    <t>20240221620</t>
  </si>
  <si>
    <t>20240221621</t>
  </si>
  <si>
    <t>20240221622</t>
  </si>
  <si>
    <t>20240221623</t>
  </si>
  <si>
    <t>20240221624</t>
  </si>
  <si>
    <t>20240221625</t>
  </si>
  <si>
    <t>20240221626</t>
  </si>
  <si>
    <t>20240221627</t>
  </si>
  <si>
    <t>20240221628</t>
  </si>
  <si>
    <t>20240221629</t>
  </si>
  <si>
    <t>20240221630</t>
  </si>
  <si>
    <t>20240221701</t>
  </si>
  <si>
    <t>20240221702</t>
  </si>
  <si>
    <t>20240221703</t>
  </si>
  <si>
    <t>20240221704</t>
  </si>
  <si>
    <t>20240221705</t>
  </si>
  <si>
    <t>20240221706</t>
  </si>
  <si>
    <t>20240221707</t>
  </si>
  <si>
    <t>20240221708</t>
  </si>
  <si>
    <t>20240221709</t>
  </si>
  <si>
    <t>20240221710</t>
  </si>
  <si>
    <t>20240221711</t>
  </si>
  <si>
    <t>20240221712</t>
  </si>
  <si>
    <t>20240221713</t>
  </si>
  <si>
    <t>20240221714</t>
  </si>
  <si>
    <t>20240221715</t>
  </si>
  <si>
    <t>20240221716</t>
  </si>
  <si>
    <t>20240221717</t>
  </si>
  <si>
    <t>20240221718</t>
  </si>
  <si>
    <t>20240221719</t>
  </si>
  <si>
    <t>20240221720</t>
  </si>
  <si>
    <t>20240221721</t>
  </si>
  <si>
    <t>20240221722</t>
  </si>
  <si>
    <t>20240221723</t>
  </si>
  <si>
    <t>20240221724</t>
  </si>
  <si>
    <t>20240221725</t>
  </si>
  <si>
    <t>20240221726</t>
  </si>
  <si>
    <t>20240221727</t>
  </si>
  <si>
    <t>20240221728</t>
  </si>
  <si>
    <t>20240221729</t>
  </si>
  <si>
    <t>20240221730</t>
  </si>
  <si>
    <t>20240221801</t>
  </si>
  <si>
    <t>20240221802</t>
  </si>
  <si>
    <t>20240221803</t>
  </si>
  <si>
    <t>20240221804</t>
  </si>
  <si>
    <t>20240221805</t>
  </si>
  <si>
    <t>20240221806</t>
  </si>
  <si>
    <t>20240221807</t>
  </si>
  <si>
    <t>20240221808</t>
  </si>
  <si>
    <t>20240221809</t>
  </si>
  <si>
    <t>20240221810</t>
  </si>
  <si>
    <t>20240221811</t>
  </si>
  <si>
    <t>20240221812</t>
  </si>
  <si>
    <t>20240221813</t>
  </si>
  <si>
    <t>20240221814</t>
  </si>
  <si>
    <t>20240221815</t>
  </si>
  <si>
    <t>20240221816</t>
  </si>
  <si>
    <t>20240221817</t>
  </si>
  <si>
    <t>20240221818</t>
  </si>
  <si>
    <t>20240221819</t>
  </si>
  <si>
    <t>20240221820</t>
  </si>
  <si>
    <t>20240221821</t>
  </si>
  <si>
    <t>20240221822</t>
  </si>
  <si>
    <t>20240221823</t>
  </si>
  <si>
    <t>20240221824</t>
  </si>
  <si>
    <t>20240221825</t>
  </si>
  <si>
    <t>20240221826</t>
  </si>
  <si>
    <t>20240221827</t>
  </si>
  <si>
    <t>20240221828</t>
  </si>
  <si>
    <t>20240221829</t>
  </si>
  <si>
    <t>20240221830</t>
  </si>
  <si>
    <t>20240221901</t>
  </si>
  <si>
    <t>20240221902</t>
  </si>
  <si>
    <t>20240221903</t>
  </si>
  <si>
    <t>20240221904</t>
  </si>
  <si>
    <t>20240221905</t>
  </si>
  <si>
    <t>20240221906</t>
  </si>
  <si>
    <t>20240221907</t>
  </si>
  <si>
    <t>20240221908</t>
  </si>
  <si>
    <t>20240221909</t>
  </si>
  <si>
    <t>20240221910</t>
  </si>
  <si>
    <t>20240221911</t>
  </si>
  <si>
    <t>20240221912</t>
  </si>
  <si>
    <t>20240221913</t>
  </si>
  <si>
    <t>20240221914</t>
  </si>
  <si>
    <t>20240221915</t>
  </si>
  <si>
    <t>20240221916</t>
  </si>
  <si>
    <t>20240221917</t>
  </si>
  <si>
    <t>20240221918</t>
  </si>
  <si>
    <t>20240221919</t>
  </si>
  <si>
    <t>20240221920</t>
  </si>
  <si>
    <t>20240221921</t>
  </si>
  <si>
    <t>20240221922</t>
  </si>
  <si>
    <t>20240221923</t>
  </si>
  <si>
    <t>20240221924</t>
  </si>
  <si>
    <t>20240221925</t>
  </si>
  <si>
    <t>20240221926</t>
  </si>
  <si>
    <t>20240221927</t>
  </si>
  <si>
    <t>20240221928</t>
  </si>
  <si>
    <t>20240221929</t>
  </si>
  <si>
    <t>20240221930</t>
  </si>
  <si>
    <t>20240242001</t>
  </si>
  <si>
    <t>20240242002</t>
  </si>
  <si>
    <t>20240242003</t>
  </si>
  <si>
    <t>20240242004</t>
  </si>
  <si>
    <t>20240242005</t>
  </si>
  <si>
    <t>20240242006</t>
  </si>
  <si>
    <t>20240242007</t>
  </si>
  <si>
    <t>20240242008</t>
  </si>
  <si>
    <t>20240242009</t>
  </si>
  <si>
    <t>20240242010</t>
  </si>
  <si>
    <t>20240242011</t>
  </si>
  <si>
    <t>20240242012</t>
  </si>
  <si>
    <t>20240242013</t>
  </si>
  <si>
    <t>20240242014</t>
  </si>
  <si>
    <t>20240242015</t>
  </si>
  <si>
    <t>20240242016</t>
  </si>
  <si>
    <t>20240242017</t>
  </si>
  <si>
    <t>20240242018</t>
  </si>
  <si>
    <t>20240242019</t>
  </si>
  <si>
    <t>20240242020</t>
  </si>
  <si>
    <t>20240242021</t>
  </si>
  <si>
    <t>20240242022</t>
  </si>
  <si>
    <t>20240242023</t>
  </si>
  <si>
    <t>20240242024</t>
  </si>
  <si>
    <t>20240242025</t>
  </si>
  <si>
    <t>20240242026</t>
  </si>
  <si>
    <t>20240242027</t>
  </si>
  <si>
    <t>20240242028</t>
  </si>
  <si>
    <t>20240242029</t>
  </si>
  <si>
    <t>20240242030</t>
  </si>
  <si>
    <t>20240242101</t>
  </si>
  <si>
    <t>20240242102</t>
  </si>
  <si>
    <t>20240242103</t>
  </si>
  <si>
    <t>20240242104</t>
  </si>
  <si>
    <t>20240242105</t>
  </si>
  <si>
    <t>20240242106</t>
  </si>
  <si>
    <t>20240242107</t>
  </si>
  <si>
    <t>20240242108</t>
  </si>
  <si>
    <t>20240242109</t>
  </si>
  <si>
    <t>20240242110</t>
  </si>
  <si>
    <t>20240242111</t>
  </si>
  <si>
    <t>20240242112</t>
  </si>
  <si>
    <t>20240242113</t>
  </si>
  <si>
    <t>20240242114</t>
  </si>
  <si>
    <t>20240242115</t>
  </si>
  <si>
    <t>20240242116</t>
  </si>
  <si>
    <t>20240242117</t>
  </si>
  <si>
    <t>20240242118</t>
  </si>
  <si>
    <t>20240242119</t>
  </si>
  <si>
    <t>20240242120</t>
  </si>
  <si>
    <t>20240242121</t>
  </si>
  <si>
    <t>20240242122</t>
  </si>
  <si>
    <t>20240242123</t>
  </si>
  <si>
    <t>20240242124</t>
  </si>
  <si>
    <t>20240242125</t>
  </si>
  <si>
    <t>20240242126</t>
  </si>
  <si>
    <t>20240242127</t>
  </si>
  <si>
    <t>20240242128</t>
  </si>
  <si>
    <t>20240242129</t>
  </si>
  <si>
    <t>20240242130</t>
  </si>
  <si>
    <t>20240242201</t>
  </si>
  <si>
    <t>20240242202</t>
  </si>
  <si>
    <t>20240242203</t>
  </si>
  <si>
    <t>20240242204</t>
  </si>
  <si>
    <t>20240242205</t>
  </si>
  <si>
    <t>20240242206</t>
  </si>
  <si>
    <t>20240242207</t>
  </si>
  <si>
    <t>20240242208</t>
  </si>
  <si>
    <t>20240242209</t>
  </si>
  <si>
    <t>20240242210</t>
  </si>
  <si>
    <t>20240242211</t>
  </si>
  <si>
    <t>20240242212</t>
  </si>
  <si>
    <t>20240242213</t>
  </si>
  <si>
    <t>20240242214</t>
  </si>
  <si>
    <t>20240242215</t>
  </si>
  <si>
    <t>20240242216</t>
  </si>
  <si>
    <t>20240242217</t>
  </si>
  <si>
    <t>20240242218</t>
  </si>
  <si>
    <t>20240242219</t>
  </si>
  <si>
    <t>20240242220</t>
  </si>
  <si>
    <t>20240242221</t>
  </si>
  <si>
    <t>20240242222</t>
  </si>
  <si>
    <t>20240242223</t>
  </si>
  <si>
    <t>20240242224</t>
  </si>
  <si>
    <t>20240242225</t>
  </si>
  <si>
    <t>20240242226</t>
  </si>
  <si>
    <t>20240242227</t>
  </si>
  <si>
    <t>20240242228</t>
  </si>
  <si>
    <t>20240242229</t>
  </si>
  <si>
    <t>20240242230</t>
  </si>
  <si>
    <t>20240242301</t>
  </si>
  <si>
    <t>20240242302</t>
  </si>
  <si>
    <t>20240242303</t>
  </si>
  <si>
    <t>20240242304</t>
  </si>
  <si>
    <t>20240242305</t>
  </si>
  <si>
    <t>20240242306</t>
  </si>
  <si>
    <t>20240242307</t>
  </si>
  <si>
    <t>20240242308</t>
  </si>
  <si>
    <t>20240242309</t>
  </si>
  <si>
    <t>20240242310</t>
  </si>
  <si>
    <t>20240242311</t>
  </si>
  <si>
    <t>20240242312</t>
  </si>
  <si>
    <t>20240242313</t>
  </si>
  <si>
    <t>20240242314</t>
  </si>
  <si>
    <t>20240242315</t>
  </si>
  <si>
    <t>20240242316</t>
  </si>
  <si>
    <t>20240242317</t>
  </si>
  <si>
    <t>20240242318</t>
  </si>
  <si>
    <t>20240242319</t>
  </si>
  <si>
    <t>20240242320</t>
  </si>
  <si>
    <t>20240242321</t>
  </si>
  <si>
    <t>20240242322</t>
  </si>
  <si>
    <t>20240242323</t>
  </si>
  <si>
    <t>20240242324</t>
  </si>
  <si>
    <t>20240242325</t>
  </si>
  <si>
    <t>20240242326</t>
  </si>
  <si>
    <t>20240242327</t>
  </si>
  <si>
    <t>20240242328</t>
  </si>
  <si>
    <t>20240242329</t>
  </si>
  <si>
    <t>20240242330</t>
  </si>
  <si>
    <t>20240242401</t>
  </si>
  <si>
    <t>20240242402</t>
  </si>
  <si>
    <t>20240242403</t>
  </si>
  <si>
    <t>20240242404</t>
  </si>
  <si>
    <t>20240242405</t>
  </si>
  <si>
    <t>20240242406</t>
  </si>
  <si>
    <t>20240242407</t>
  </si>
  <si>
    <t>20240242408</t>
  </si>
  <si>
    <t>20240242409</t>
  </si>
  <si>
    <t>20240242410</t>
  </si>
  <si>
    <t>20240242411</t>
  </si>
  <si>
    <t>20240242412</t>
  </si>
  <si>
    <t>20240242413</t>
  </si>
  <si>
    <t>20240242414</t>
  </si>
  <si>
    <t>20240242415</t>
  </si>
  <si>
    <t>20240242416</t>
  </si>
  <si>
    <t>20240242417</t>
  </si>
  <si>
    <t>20240242418</t>
  </si>
  <si>
    <t>20240242419</t>
  </si>
  <si>
    <t>20240242420</t>
  </si>
  <si>
    <t>20240242421</t>
  </si>
  <si>
    <t>20240242422</t>
  </si>
  <si>
    <t>20240242423</t>
  </si>
  <si>
    <t>20240242424</t>
  </si>
  <si>
    <t>20240242425</t>
  </si>
  <si>
    <t>20240242426</t>
  </si>
  <si>
    <t>20240242427</t>
  </si>
  <si>
    <t>20240242428</t>
  </si>
  <si>
    <t>20240242429</t>
  </si>
  <si>
    <t>20240242430</t>
  </si>
  <si>
    <t>20240242501</t>
  </si>
  <si>
    <t>20240242502</t>
  </si>
  <si>
    <t>20240242503</t>
  </si>
  <si>
    <t>20240242504</t>
  </si>
  <si>
    <t>20240242505</t>
  </si>
  <si>
    <t>20240242506</t>
  </si>
  <si>
    <t>20240242507</t>
  </si>
  <si>
    <t>20240242508</t>
  </si>
  <si>
    <t>20240252509</t>
  </si>
  <si>
    <t>20240252510</t>
  </si>
  <si>
    <t>20240252511</t>
  </si>
  <si>
    <t>20240262512</t>
  </si>
  <si>
    <t>20240262513</t>
  </si>
  <si>
    <t>20240282514</t>
  </si>
  <si>
    <t>20240282515</t>
  </si>
  <si>
    <t>20240282516</t>
  </si>
  <si>
    <t>20240282517</t>
  </si>
  <si>
    <t>20240282518</t>
  </si>
  <si>
    <t>备注</t>
    <phoneticPr fontId="1" type="noConversion"/>
  </si>
  <si>
    <t>排名</t>
    <phoneticPr fontId="1" type="noConversion"/>
  </si>
  <si>
    <t>缺考</t>
    <phoneticPr fontId="1" type="noConversion"/>
  </si>
  <si>
    <t>2024年巴东县事业单位第二次专项公开招聘工作人员笔试成绩</t>
    <phoneticPr fontId="1" type="noConversion"/>
  </si>
  <si>
    <t>笔试成绩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</si>
</sst>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_);[Red]\(0.000\)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3"/>
  <sheetViews>
    <sheetView tabSelected="1" topLeftCell="A25" workbookViewId="0">
      <selection activeCell="N93" sqref="N93"/>
    </sheetView>
  </sheetViews>
  <sheetFormatPr defaultColWidth="9" defaultRowHeight="13.5"/>
  <cols>
    <col min="1" max="1" width="5.75" style="4" bestFit="1" customWidth="1"/>
    <col min="2" max="2" width="9" style="4" bestFit="1" customWidth="1"/>
    <col min="3" max="3" width="7.5" style="4" customWidth="1"/>
    <col min="4" max="4" width="32.5" style="4" customWidth="1"/>
    <col min="5" max="5" width="15.125" style="7" customWidth="1"/>
    <col min="6" max="6" width="12.75" style="7" customWidth="1"/>
    <col min="7" max="7" width="16.375" style="4" customWidth="1"/>
    <col min="8" max="8" width="8.375" style="5" customWidth="1"/>
    <col min="9" max="9" width="11.875" style="5" customWidth="1"/>
    <col min="10" max="10" width="10.875" style="16" customWidth="1"/>
    <col min="11" max="11" width="10" style="8" customWidth="1"/>
    <col min="12" max="12" width="7.375" style="4" customWidth="1"/>
    <col min="13" max="18" width="9" style="4"/>
    <col min="19" max="21" width="0" style="4" hidden="1" customWidth="1"/>
    <col min="22" max="22" width="16.875" style="4" customWidth="1"/>
    <col min="23" max="24" width="0" style="4" hidden="1" customWidth="1"/>
    <col min="25" max="16384" width="9" style="4"/>
  </cols>
  <sheetData>
    <row r="1" spans="1:12" ht="35.1" customHeight="1">
      <c r="A1" s="17" t="s">
        <v>832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1.95" customHeight="1">
      <c r="A2" s="9" t="s">
        <v>21</v>
      </c>
      <c r="B2" s="9" t="s">
        <v>3</v>
      </c>
      <c r="C2" s="9" t="s">
        <v>4</v>
      </c>
      <c r="D2" s="9" t="s">
        <v>2</v>
      </c>
      <c r="E2" s="10" t="s">
        <v>1</v>
      </c>
      <c r="F2" s="10" t="s">
        <v>0</v>
      </c>
      <c r="G2" s="9" t="s">
        <v>53</v>
      </c>
      <c r="H2" s="11" t="s">
        <v>22</v>
      </c>
      <c r="I2" s="11" t="s">
        <v>23</v>
      </c>
      <c r="J2" s="14" t="s">
        <v>833</v>
      </c>
      <c r="K2" s="12" t="s">
        <v>830</v>
      </c>
      <c r="L2" s="9" t="s">
        <v>829</v>
      </c>
    </row>
    <row r="3" spans="1:12" ht="21.95" customHeight="1">
      <c r="A3" s="1">
        <v>1</v>
      </c>
      <c r="B3" s="2" t="str">
        <f>"汪柳"</f>
        <v>汪柳</v>
      </c>
      <c r="C3" s="2" t="str">
        <f>"男"</f>
        <v>男</v>
      </c>
      <c r="D3" s="2" t="s">
        <v>6</v>
      </c>
      <c r="E3" s="2" t="s">
        <v>5</v>
      </c>
      <c r="F3" s="2" t="str">
        <f t="shared" ref="F3:F34" si="0">"E2024018"</f>
        <v>E2024018</v>
      </c>
      <c r="G3" s="2" t="s">
        <v>195</v>
      </c>
      <c r="H3" s="6" t="s">
        <v>55</v>
      </c>
      <c r="I3" s="6" t="s">
        <v>59</v>
      </c>
      <c r="J3" s="15">
        <v>87.81</v>
      </c>
      <c r="K3" s="13">
        <v>1</v>
      </c>
      <c r="L3" s="1"/>
    </row>
    <row r="4" spans="1:12" ht="21.95" customHeight="1">
      <c r="A4" s="1">
        <v>2</v>
      </c>
      <c r="B4" s="2" t="str">
        <f>"吕维鑫"</f>
        <v>吕维鑫</v>
      </c>
      <c r="C4" s="2" t="str">
        <f>"男"</f>
        <v>男</v>
      </c>
      <c r="D4" s="2" t="s">
        <v>6</v>
      </c>
      <c r="E4" s="2" t="s">
        <v>5</v>
      </c>
      <c r="F4" s="2" t="str">
        <f t="shared" si="0"/>
        <v>E2024018</v>
      </c>
      <c r="G4" s="2" t="s">
        <v>171</v>
      </c>
      <c r="H4" s="6" t="s">
        <v>73</v>
      </c>
      <c r="I4" s="6" t="s">
        <v>62</v>
      </c>
      <c r="J4" s="15">
        <v>83.73</v>
      </c>
      <c r="K4" s="13">
        <v>2</v>
      </c>
      <c r="L4" s="1"/>
    </row>
    <row r="5" spans="1:12" ht="21.95" customHeight="1">
      <c r="A5" s="1">
        <v>3</v>
      </c>
      <c r="B5" s="2" t="str">
        <f>"邓修阳"</f>
        <v>邓修阳</v>
      </c>
      <c r="C5" s="2" t="str">
        <f>"男"</f>
        <v>男</v>
      </c>
      <c r="D5" s="2" t="s">
        <v>6</v>
      </c>
      <c r="E5" s="2" t="s">
        <v>5</v>
      </c>
      <c r="F5" s="2" t="str">
        <f t="shared" si="0"/>
        <v>E2024018</v>
      </c>
      <c r="G5" s="2" t="s">
        <v>163</v>
      </c>
      <c r="H5" s="6" t="s">
        <v>73</v>
      </c>
      <c r="I5" s="6" t="s">
        <v>58</v>
      </c>
      <c r="J5" s="15">
        <v>83.6</v>
      </c>
      <c r="K5" s="13">
        <v>3</v>
      </c>
      <c r="L5" s="1"/>
    </row>
    <row r="6" spans="1:12" ht="21.95" customHeight="1">
      <c r="A6" s="1">
        <v>4</v>
      </c>
      <c r="B6" s="2" t="str">
        <f>"钟茹"</f>
        <v>钟茹</v>
      </c>
      <c r="C6" s="2" t="str">
        <f>"女"</f>
        <v>女</v>
      </c>
      <c r="D6" s="2" t="s">
        <v>6</v>
      </c>
      <c r="E6" s="2" t="s">
        <v>5</v>
      </c>
      <c r="F6" s="2" t="str">
        <f t="shared" si="0"/>
        <v>E2024018</v>
      </c>
      <c r="G6" s="2" t="s">
        <v>190</v>
      </c>
      <c r="H6" s="6" t="s">
        <v>55</v>
      </c>
      <c r="I6" s="6" t="s">
        <v>32</v>
      </c>
      <c r="J6" s="15">
        <v>81.12</v>
      </c>
      <c r="K6" s="13">
        <v>4</v>
      </c>
      <c r="L6" s="1"/>
    </row>
    <row r="7" spans="1:12" ht="21.95" customHeight="1">
      <c r="A7" s="1">
        <v>5</v>
      </c>
      <c r="B7" s="2" t="str">
        <f>"李欣"</f>
        <v>李欣</v>
      </c>
      <c r="C7" s="2" t="str">
        <f>"男"</f>
        <v>男</v>
      </c>
      <c r="D7" s="2" t="s">
        <v>6</v>
      </c>
      <c r="E7" s="2" t="s">
        <v>5</v>
      </c>
      <c r="F7" s="2" t="str">
        <f t="shared" si="0"/>
        <v>E2024018</v>
      </c>
      <c r="G7" s="2" t="s">
        <v>178</v>
      </c>
      <c r="H7" s="6" t="s">
        <v>28</v>
      </c>
      <c r="I7" s="6" t="s">
        <v>50</v>
      </c>
      <c r="J7" s="15">
        <v>80.58</v>
      </c>
      <c r="K7" s="13">
        <v>5</v>
      </c>
      <c r="L7" s="1"/>
    </row>
    <row r="8" spans="1:12" ht="21.95" customHeight="1">
      <c r="A8" s="1">
        <v>6</v>
      </c>
      <c r="B8" s="2" t="str">
        <f>"万朝翰"</f>
        <v>万朝翰</v>
      </c>
      <c r="C8" s="2" t="str">
        <f>"男"</f>
        <v>男</v>
      </c>
      <c r="D8" s="2" t="s">
        <v>6</v>
      </c>
      <c r="E8" s="2" t="s">
        <v>5</v>
      </c>
      <c r="F8" s="2" t="str">
        <f t="shared" si="0"/>
        <v>E2024018</v>
      </c>
      <c r="G8" s="2" t="s">
        <v>191</v>
      </c>
      <c r="H8" s="6" t="s">
        <v>55</v>
      </c>
      <c r="I8" s="6" t="s">
        <v>57</v>
      </c>
      <c r="J8" s="15">
        <v>80.22</v>
      </c>
      <c r="K8" s="13">
        <v>6</v>
      </c>
      <c r="L8" s="1"/>
    </row>
    <row r="9" spans="1:12" ht="21.95" customHeight="1">
      <c r="A9" s="1">
        <v>7</v>
      </c>
      <c r="B9" s="2" t="str">
        <f>"刘膨位"</f>
        <v>刘膨位</v>
      </c>
      <c r="C9" s="2" t="str">
        <f>"男"</f>
        <v>男</v>
      </c>
      <c r="D9" s="2" t="s">
        <v>6</v>
      </c>
      <c r="E9" s="2" t="s">
        <v>5</v>
      </c>
      <c r="F9" s="2" t="str">
        <f t="shared" si="0"/>
        <v>E2024018</v>
      </c>
      <c r="G9" s="2" t="s">
        <v>245</v>
      </c>
      <c r="H9" s="6" t="s">
        <v>79</v>
      </c>
      <c r="I9" s="6" t="s">
        <v>54</v>
      </c>
      <c r="J9" s="15">
        <v>79.680000000000007</v>
      </c>
      <c r="K9" s="13">
        <v>7</v>
      </c>
      <c r="L9" s="1"/>
    </row>
    <row r="10" spans="1:12" ht="21.95" customHeight="1">
      <c r="A10" s="1">
        <v>8</v>
      </c>
      <c r="B10" s="2" t="str">
        <f>"胡邱林"</f>
        <v>胡邱林</v>
      </c>
      <c r="C10" s="2" t="str">
        <f>"男"</f>
        <v>男</v>
      </c>
      <c r="D10" s="2" t="s">
        <v>6</v>
      </c>
      <c r="E10" s="2" t="s">
        <v>5</v>
      </c>
      <c r="F10" s="2" t="str">
        <f t="shared" si="0"/>
        <v>E2024018</v>
      </c>
      <c r="G10" s="2" t="s">
        <v>156</v>
      </c>
      <c r="H10" s="6" t="s">
        <v>28</v>
      </c>
      <c r="I10" s="6" t="s">
        <v>28</v>
      </c>
      <c r="J10" s="15">
        <v>74.37</v>
      </c>
      <c r="K10" s="13">
        <v>8</v>
      </c>
      <c r="L10" s="1"/>
    </row>
    <row r="11" spans="1:12" ht="21.95" customHeight="1">
      <c r="A11" s="1">
        <v>9</v>
      </c>
      <c r="B11" s="2" t="str">
        <f>"杨丽蓉"</f>
        <v>杨丽蓉</v>
      </c>
      <c r="C11" s="2" t="str">
        <f>"女"</f>
        <v>女</v>
      </c>
      <c r="D11" s="2" t="s">
        <v>6</v>
      </c>
      <c r="E11" s="2" t="s">
        <v>5</v>
      </c>
      <c r="F11" s="2" t="str">
        <f t="shared" si="0"/>
        <v>E2024018</v>
      </c>
      <c r="G11" s="2" t="s">
        <v>234</v>
      </c>
      <c r="H11" s="6" t="s">
        <v>30</v>
      </c>
      <c r="I11" s="6" t="s">
        <v>46</v>
      </c>
      <c r="J11" s="15">
        <v>74.09</v>
      </c>
      <c r="K11" s="13">
        <v>9</v>
      </c>
      <c r="L11" s="1"/>
    </row>
    <row r="12" spans="1:12" ht="21.95" customHeight="1">
      <c r="A12" s="1">
        <v>10</v>
      </c>
      <c r="B12" s="2" t="str">
        <f>"文芮"</f>
        <v>文芮</v>
      </c>
      <c r="C12" s="2" t="str">
        <f>"女"</f>
        <v>女</v>
      </c>
      <c r="D12" s="2" t="s">
        <v>6</v>
      </c>
      <c r="E12" s="2" t="s">
        <v>5</v>
      </c>
      <c r="F12" s="2" t="str">
        <f t="shared" si="0"/>
        <v>E2024018</v>
      </c>
      <c r="G12" s="2" t="s">
        <v>160</v>
      </c>
      <c r="H12" s="6" t="s">
        <v>28</v>
      </c>
      <c r="I12" s="6" t="s">
        <v>32</v>
      </c>
      <c r="J12" s="15">
        <v>73.19</v>
      </c>
      <c r="K12" s="13">
        <v>10</v>
      </c>
      <c r="L12" s="1"/>
    </row>
    <row r="13" spans="1:12" ht="21.95" customHeight="1">
      <c r="A13" s="1">
        <v>11</v>
      </c>
      <c r="B13" s="2" t="str">
        <f>"向少浩"</f>
        <v>向少浩</v>
      </c>
      <c r="C13" s="2" t="str">
        <f>"男"</f>
        <v>男</v>
      </c>
      <c r="D13" s="2" t="s">
        <v>6</v>
      </c>
      <c r="E13" s="2" t="s">
        <v>5</v>
      </c>
      <c r="F13" s="2" t="str">
        <f t="shared" si="0"/>
        <v>E2024018</v>
      </c>
      <c r="G13" s="2" t="s">
        <v>184</v>
      </c>
      <c r="H13" s="6" t="s">
        <v>75</v>
      </c>
      <c r="I13" s="6" t="s">
        <v>77</v>
      </c>
      <c r="J13" s="15">
        <v>73.180000000000007</v>
      </c>
      <c r="K13" s="13">
        <v>11</v>
      </c>
      <c r="L13" s="1"/>
    </row>
    <row r="14" spans="1:12" ht="21.95" customHeight="1">
      <c r="A14" s="1">
        <v>12</v>
      </c>
      <c r="B14" s="2" t="str">
        <f>"秦贞光"</f>
        <v>秦贞光</v>
      </c>
      <c r="C14" s="2" t="str">
        <f>"男"</f>
        <v>男</v>
      </c>
      <c r="D14" s="2" t="s">
        <v>6</v>
      </c>
      <c r="E14" s="2" t="s">
        <v>5</v>
      </c>
      <c r="F14" s="2" t="str">
        <f t="shared" si="0"/>
        <v>E2024018</v>
      </c>
      <c r="G14" s="2" t="s">
        <v>235</v>
      </c>
      <c r="H14" s="6" t="s">
        <v>30</v>
      </c>
      <c r="I14" s="6" t="s">
        <v>64</v>
      </c>
      <c r="J14" s="15">
        <v>71.27</v>
      </c>
      <c r="K14" s="13">
        <v>12</v>
      </c>
      <c r="L14" s="1"/>
    </row>
    <row r="15" spans="1:12" ht="21.95" customHeight="1">
      <c r="A15" s="1">
        <v>13</v>
      </c>
      <c r="B15" s="2" t="str">
        <f>"乔义东"</f>
        <v>乔义东</v>
      </c>
      <c r="C15" s="2" t="str">
        <f>"男"</f>
        <v>男</v>
      </c>
      <c r="D15" s="2" t="s">
        <v>6</v>
      </c>
      <c r="E15" s="2" t="s">
        <v>5</v>
      </c>
      <c r="F15" s="2" t="str">
        <f t="shared" si="0"/>
        <v>E2024018</v>
      </c>
      <c r="G15" s="2" t="s">
        <v>185</v>
      </c>
      <c r="H15" s="6" t="s">
        <v>76</v>
      </c>
      <c r="I15" s="6" t="s">
        <v>54</v>
      </c>
      <c r="J15" s="15">
        <v>70.3</v>
      </c>
      <c r="K15" s="13">
        <v>13</v>
      </c>
      <c r="L15" s="1"/>
    </row>
    <row r="16" spans="1:12" ht="21.95" customHeight="1">
      <c r="A16" s="1">
        <v>14</v>
      </c>
      <c r="B16" s="2" t="str">
        <f>"黄锴"</f>
        <v>黄锴</v>
      </c>
      <c r="C16" s="2" t="str">
        <f>"男"</f>
        <v>男</v>
      </c>
      <c r="D16" s="2" t="s">
        <v>6</v>
      </c>
      <c r="E16" s="2" t="s">
        <v>5</v>
      </c>
      <c r="F16" s="2" t="str">
        <f t="shared" si="0"/>
        <v>E2024018</v>
      </c>
      <c r="G16" s="2" t="s">
        <v>222</v>
      </c>
      <c r="H16" s="6" t="s">
        <v>30</v>
      </c>
      <c r="I16" s="6" t="s">
        <v>34</v>
      </c>
      <c r="J16" s="15">
        <v>70.12</v>
      </c>
      <c r="K16" s="13">
        <v>14</v>
      </c>
      <c r="L16" s="1"/>
    </row>
    <row r="17" spans="1:12" ht="21.95" customHeight="1">
      <c r="A17" s="1">
        <v>15</v>
      </c>
      <c r="B17" s="2" t="str">
        <f>"肖红清"</f>
        <v>肖红清</v>
      </c>
      <c r="C17" s="2" t="str">
        <f>"男"</f>
        <v>男</v>
      </c>
      <c r="D17" s="2" t="s">
        <v>6</v>
      </c>
      <c r="E17" s="2" t="s">
        <v>5</v>
      </c>
      <c r="F17" s="2" t="str">
        <f t="shared" si="0"/>
        <v>E2024018</v>
      </c>
      <c r="G17" s="2" t="s">
        <v>241</v>
      </c>
      <c r="H17" s="6" t="s">
        <v>30</v>
      </c>
      <c r="I17" s="6" t="s">
        <v>67</v>
      </c>
      <c r="J17" s="15">
        <v>69.260000000000005</v>
      </c>
      <c r="K17" s="13">
        <v>15</v>
      </c>
      <c r="L17" s="1"/>
    </row>
    <row r="18" spans="1:12" ht="21.95" customHeight="1">
      <c r="A18" s="1">
        <v>16</v>
      </c>
      <c r="B18" s="2" t="str">
        <f>"张静"</f>
        <v>张静</v>
      </c>
      <c r="C18" s="2" t="str">
        <f>"女"</f>
        <v>女</v>
      </c>
      <c r="D18" s="2" t="s">
        <v>6</v>
      </c>
      <c r="E18" s="2" t="s">
        <v>5</v>
      </c>
      <c r="F18" s="2" t="str">
        <f t="shared" si="0"/>
        <v>E2024018</v>
      </c>
      <c r="G18" s="2" t="s">
        <v>212</v>
      </c>
      <c r="H18" s="6" t="s">
        <v>55</v>
      </c>
      <c r="I18" s="6" t="s">
        <v>71</v>
      </c>
      <c r="J18" s="15">
        <v>69.010000000000005</v>
      </c>
      <c r="K18" s="13">
        <v>16</v>
      </c>
      <c r="L18" s="1"/>
    </row>
    <row r="19" spans="1:12" ht="21.95" customHeight="1">
      <c r="A19" s="1">
        <v>17</v>
      </c>
      <c r="B19" s="2" t="str">
        <f>"杨锐"</f>
        <v>杨锐</v>
      </c>
      <c r="C19" s="2" t="str">
        <f>"男"</f>
        <v>男</v>
      </c>
      <c r="D19" s="2" t="s">
        <v>6</v>
      </c>
      <c r="E19" s="2" t="s">
        <v>5</v>
      </c>
      <c r="F19" s="2" t="str">
        <f t="shared" si="0"/>
        <v>E2024018</v>
      </c>
      <c r="G19" s="2" t="s">
        <v>155</v>
      </c>
      <c r="H19" s="6" t="s">
        <v>74</v>
      </c>
      <c r="I19" s="6" t="s">
        <v>68</v>
      </c>
      <c r="J19" s="15">
        <v>68.760000000000005</v>
      </c>
      <c r="K19" s="13">
        <v>17</v>
      </c>
      <c r="L19" s="1"/>
    </row>
    <row r="20" spans="1:12" ht="21.95" customHeight="1">
      <c r="A20" s="1">
        <v>18</v>
      </c>
      <c r="B20" s="2" t="str">
        <f>"翟泽林"</f>
        <v>翟泽林</v>
      </c>
      <c r="C20" s="2" t="str">
        <f>"男"</f>
        <v>男</v>
      </c>
      <c r="D20" s="2" t="s">
        <v>6</v>
      </c>
      <c r="E20" s="2" t="s">
        <v>5</v>
      </c>
      <c r="F20" s="2" t="str">
        <f t="shared" si="0"/>
        <v>E2024018</v>
      </c>
      <c r="G20" s="2" t="s">
        <v>179</v>
      </c>
      <c r="H20" s="6" t="s">
        <v>73</v>
      </c>
      <c r="I20" s="6" t="s">
        <v>66</v>
      </c>
      <c r="J20" s="15">
        <v>68.430000000000007</v>
      </c>
      <c r="K20" s="13">
        <v>18</v>
      </c>
      <c r="L20" s="1"/>
    </row>
    <row r="21" spans="1:12" ht="21.95" customHeight="1">
      <c r="A21" s="1">
        <v>19</v>
      </c>
      <c r="B21" s="2" t="str">
        <f>"王明锐"</f>
        <v>王明锐</v>
      </c>
      <c r="C21" s="2" t="str">
        <f>"女"</f>
        <v>女</v>
      </c>
      <c r="D21" s="2" t="s">
        <v>6</v>
      </c>
      <c r="E21" s="2" t="s">
        <v>5</v>
      </c>
      <c r="F21" s="2" t="str">
        <f t="shared" si="0"/>
        <v>E2024018</v>
      </c>
      <c r="G21" s="2" t="s">
        <v>192</v>
      </c>
      <c r="H21" s="6" t="s">
        <v>55</v>
      </c>
      <c r="I21" s="6" t="s">
        <v>34</v>
      </c>
      <c r="J21" s="15">
        <v>68.23</v>
      </c>
      <c r="K21" s="13">
        <v>19</v>
      </c>
      <c r="L21" s="1"/>
    </row>
    <row r="22" spans="1:12" ht="21.95" customHeight="1">
      <c r="A22" s="1">
        <v>20</v>
      </c>
      <c r="B22" s="2" t="str">
        <f>"吴明琳"</f>
        <v>吴明琳</v>
      </c>
      <c r="C22" s="2" t="str">
        <f>"女"</f>
        <v>女</v>
      </c>
      <c r="D22" s="2" t="s">
        <v>6</v>
      </c>
      <c r="E22" s="2" t="s">
        <v>5</v>
      </c>
      <c r="F22" s="2" t="str">
        <f t="shared" si="0"/>
        <v>E2024018</v>
      </c>
      <c r="G22" s="2" t="s">
        <v>217</v>
      </c>
      <c r="H22" s="6" t="s">
        <v>30</v>
      </c>
      <c r="I22" s="6" t="s">
        <v>55</v>
      </c>
      <c r="J22" s="15">
        <v>67.680000000000007</v>
      </c>
      <c r="K22" s="13">
        <v>20</v>
      </c>
      <c r="L22" s="1"/>
    </row>
    <row r="23" spans="1:12" ht="21.95" customHeight="1">
      <c r="A23" s="1">
        <v>21</v>
      </c>
      <c r="B23" s="2" t="str">
        <f>"张琴"</f>
        <v>张琴</v>
      </c>
      <c r="C23" s="2" t="str">
        <f>"女"</f>
        <v>女</v>
      </c>
      <c r="D23" s="2" t="s">
        <v>6</v>
      </c>
      <c r="E23" s="2" t="s">
        <v>5</v>
      </c>
      <c r="F23" s="2" t="str">
        <f t="shared" si="0"/>
        <v>E2024018</v>
      </c>
      <c r="G23" s="2" t="s">
        <v>189</v>
      </c>
      <c r="H23" s="6" t="s">
        <v>55</v>
      </c>
      <c r="I23" s="6" t="s">
        <v>56</v>
      </c>
      <c r="J23" s="15">
        <v>66.61</v>
      </c>
      <c r="K23" s="13">
        <v>21</v>
      </c>
      <c r="L23" s="1"/>
    </row>
    <row r="24" spans="1:12" ht="21.95" customHeight="1">
      <c r="A24" s="1">
        <v>22</v>
      </c>
      <c r="B24" s="2" t="str">
        <f>"吕刚"</f>
        <v>吕刚</v>
      </c>
      <c r="C24" s="2" t="str">
        <f>"男"</f>
        <v>男</v>
      </c>
      <c r="D24" s="2" t="s">
        <v>6</v>
      </c>
      <c r="E24" s="2" t="s">
        <v>5</v>
      </c>
      <c r="F24" s="2" t="str">
        <f t="shared" si="0"/>
        <v>E2024018</v>
      </c>
      <c r="G24" s="2" t="s">
        <v>158</v>
      </c>
      <c r="H24" s="6" t="s">
        <v>28</v>
      </c>
      <c r="I24" s="6" t="s">
        <v>30</v>
      </c>
      <c r="J24" s="15">
        <v>65.69</v>
      </c>
      <c r="K24" s="13">
        <v>22</v>
      </c>
      <c r="L24" s="1"/>
    </row>
    <row r="25" spans="1:12" ht="21.95" customHeight="1">
      <c r="A25" s="1">
        <v>23</v>
      </c>
      <c r="B25" s="2" t="str">
        <f>"刘向娥"</f>
        <v>刘向娥</v>
      </c>
      <c r="C25" s="2" t="str">
        <f>"女"</f>
        <v>女</v>
      </c>
      <c r="D25" s="2" t="s">
        <v>6</v>
      </c>
      <c r="E25" s="2" t="s">
        <v>5</v>
      </c>
      <c r="F25" s="2" t="str">
        <f t="shared" si="0"/>
        <v>E2024018</v>
      </c>
      <c r="G25" s="2" t="s">
        <v>237</v>
      </c>
      <c r="H25" s="6" t="s">
        <v>30</v>
      </c>
      <c r="I25" s="6" t="s">
        <v>65</v>
      </c>
      <c r="J25" s="15">
        <v>65.17</v>
      </c>
      <c r="K25" s="13">
        <v>23</v>
      </c>
      <c r="L25" s="1"/>
    </row>
    <row r="26" spans="1:12" ht="21.95" customHeight="1">
      <c r="A26" s="1">
        <v>24</v>
      </c>
      <c r="B26" s="2" t="str">
        <f>"宋晶龄"</f>
        <v>宋晶龄</v>
      </c>
      <c r="C26" s="2" t="str">
        <f>"男"</f>
        <v>男</v>
      </c>
      <c r="D26" s="2" t="s">
        <v>6</v>
      </c>
      <c r="E26" s="2" t="s">
        <v>5</v>
      </c>
      <c r="F26" s="2" t="str">
        <f t="shared" si="0"/>
        <v>E2024018</v>
      </c>
      <c r="G26" s="2" t="s">
        <v>207</v>
      </c>
      <c r="H26" s="6" t="s">
        <v>55</v>
      </c>
      <c r="I26" s="6" t="s">
        <v>65</v>
      </c>
      <c r="J26" s="15">
        <v>65.099999999999994</v>
      </c>
      <c r="K26" s="13">
        <v>24</v>
      </c>
      <c r="L26" s="1"/>
    </row>
    <row r="27" spans="1:12" ht="21.95" customHeight="1">
      <c r="A27" s="1">
        <v>25</v>
      </c>
      <c r="B27" s="2" t="str">
        <f>"李儒慧"</f>
        <v>李儒慧</v>
      </c>
      <c r="C27" s="2" t="str">
        <f>"女"</f>
        <v>女</v>
      </c>
      <c r="D27" s="2" t="s">
        <v>6</v>
      </c>
      <c r="E27" s="2" t="s">
        <v>5</v>
      </c>
      <c r="F27" s="2" t="str">
        <f t="shared" si="0"/>
        <v>E2024018</v>
      </c>
      <c r="G27" s="2" t="s">
        <v>214</v>
      </c>
      <c r="H27" s="6" t="s">
        <v>78</v>
      </c>
      <c r="I27" s="6" t="s">
        <v>77</v>
      </c>
      <c r="J27" s="15">
        <v>64.31</v>
      </c>
      <c r="K27" s="13">
        <v>25</v>
      </c>
      <c r="L27" s="1"/>
    </row>
    <row r="28" spans="1:12" ht="21.95" customHeight="1">
      <c r="A28" s="1">
        <v>26</v>
      </c>
      <c r="B28" s="2" t="str">
        <f>"向祺"</f>
        <v>向祺</v>
      </c>
      <c r="C28" s="2" t="str">
        <f>"男"</f>
        <v>男</v>
      </c>
      <c r="D28" s="2" t="s">
        <v>6</v>
      </c>
      <c r="E28" s="2" t="s">
        <v>5</v>
      </c>
      <c r="F28" s="2" t="str">
        <f t="shared" si="0"/>
        <v>E2024018</v>
      </c>
      <c r="G28" s="2" t="s">
        <v>211</v>
      </c>
      <c r="H28" s="6" t="s">
        <v>55</v>
      </c>
      <c r="I28" s="6" t="s">
        <v>67</v>
      </c>
      <c r="J28" s="15">
        <v>64.19</v>
      </c>
      <c r="K28" s="13">
        <v>26</v>
      </c>
      <c r="L28" s="1"/>
    </row>
    <row r="29" spans="1:12" ht="21.95" customHeight="1">
      <c r="A29" s="1">
        <v>27</v>
      </c>
      <c r="B29" s="2" t="str">
        <f>"王琳琳"</f>
        <v>王琳琳</v>
      </c>
      <c r="C29" s="2" t="str">
        <f t="shared" ref="C29:C34" si="1">"女"</f>
        <v>女</v>
      </c>
      <c r="D29" s="2" t="s">
        <v>6</v>
      </c>
      <c r="E29" s="2" t="s">
        <v>5</v>
      </c>
      <c r="F29" s="2" t="str">
        <f t="shared" si="0"/>
        <v>E2024018</v>
      </c>
      <c r="G29" s="2" t="s">
        <v>164</v>
      </c>
      <c r="H29" s="6" t="s">
        <v>28</v>
      </c>
      <c r="I29" s="6" t="s">
        <v>36</v>
      </c>
      <c r="J29" s="15">
        <v>64.11</v>
      </c>
      <c r="K29" s="13">
        <v>27</v>
      </c>
      <c r="L29" s="1"/>
    </row>
    <row r="30" spans="1:12" ht="21.95" customHeight="1">
      <c r="A30" s="1">
        <v>28</v>
      </c>
      <c r="B30" s="2" t="str">
        <f>"李甜甜"</f>
        <v>李甜甜</v>
      </c>
      <c r="C30" s="2" t="str">
        <f t="shared" si="1"/>
        <v>女</v>
      </c>
      <c r="D30" s="2" t="s">
        <v>6</v>
      </c>
      <c r="E30" s="2" t="s">
        <v>5</v>
      </c>
      <c r="F30" s="2" t="str">
        <f t="shared" si="0"/>
        <v>E2024018</v>
      </c>
      <c r="G30" s="2" t="s">
        <v>233</v>
      </c>
      <c r="H30" s="6" t="s">
        <v>30</v>
      </c>
      <c r="I30" s="6" t="s">
        <v>63</v>
      </c>
      <c r="J30" s="15">
        <v>63.63</v>
      </c>
      <c r="K30" s="13">
        <v>28</v>
      </c>
      <c r="L30" s="1"/>
    </row>
    <row r="31" spans="1:12" ht="21.95" customHeight="1">
      <c r="A31" s="1">
        <v>29</v>
      </c>
      <c r="B31" s="2" t="str">
        <f>"徐小锋"</f>
        <v>徐小锋</v>
      </c>
      <c r="C31" s="2" t="str">
        <f t="shared" si="1"/>
        <v>女</v>
      </c>
      <c r="D31" s="2" t="s">
        <v>6</v>
      </c>
      <c r="E31" s="2" t="s">
        <v>5</v>
      </c>
      <c r="F31" s="2" t="str">
        <f t="shared" si="0"/>
        <v>E2024018</v>
      </c>
      <c r="G31" s="2" t="s">
        <v>231</v>
      </c>
      <c r="H31" s="6" t="s">
        <v>30</v>
      </c>
      <c r="I31" s="6" t="s">
        <v>62</v>
      </c>
      <c r="J31" s="15">
        <v>61.52</v>
      </c>
      <c r="K31" s="13">
        <v>29</v>
      </c>
      <c r="L31" s="1"/>
    </row>
    <row r="32" spans="1:12" ht="21.95" customHeight="1">
      <c r="A32" s="1">
        <v>30</v>
      </c>
      <c r="B32" s="2" t="str">
        <f>"聂秋霞"</f>
        <v>聂秋霞</v>
      </c>
      <c r="C32" s="2" t="str">
        <f t="shared" si="1"/>
        <v>女</v>
      </c>
      <c r="D32" s="2" t="s">
        <v>6</v>
      </c>
      <c r="E32" s="2" t="s">
        <v>5</v>
      </c>
      <c r="F32" s="2" t="str">
        <f t="shared" si="0"/>
        <v>E2024018</v>
      </c>
      <c r="G32" s="2" t="s">
        <v>161</v>
      </c>
      <c r="H32" s="6" t="s">
        <v>73</v>
      </c>
      <c r="I32" s="6" t="s">
        <v>57</v>
      </c>
      <c r="J32" s="15">
        <v>61.24</v>
      </c>
      <c r="K32" s="13">
        <v>30</v>
      </c>
      <c r="L32" s="1"/>
    </row>
    <row r="33" spans="1:12" ht="21.95" customHeight="1">
      <c r="A33" s="1">
        <v>31</v>
      </c>
      <c r="B33" s="2" t="str">
        <f>"李莹"</f>
        <v>李莹</v>
      </c>
      <c r="C33" s="2" t="str">
        <f t="shared" si="1"/>
        <v>女</v>
      </c>
      <c r="D33" s="2" t="s">
        <v>6</v>
      </c>
      <c r="E33" s="2" t="s">
        <v>5</v>
      </c>
      <c r="F33" s="2" t="str">
        <f t="shared" si="0"/>
        <v>E2024018</v>
      </c>
      <c r="G33" s="2" t="s">
        <v>201</v>
      </c>
      <c r="H33" s="6" t="s">
        <v>55</v>
      </c>
      <c r="I33" s="6" t="s">
        <v>62</v>
      </c>
      <c r="J33" s="15">
        <v>56.52</v>
      </c>
      <c r="K33" s="13">
        <v>31</v>
      </c>
      <c r="L33" s="1"/>
    </row>
    <row r="34" spans="1:12" ht="21.95" customHeight="1">
      <c r="A34" s="1">
        <v>32</v>
      </c>
      <c r="B34" s="2" t="str">
        <f>"王海英"</f>
        <v>王海英</v>
      </c>
      <c r="C34" s="2" t="str">
        <f t="shared" si="1"/>
        <v>女</v>
      </c>
      <c r="D34" s="2" t="s">
        <v>6</v>
      </c>
      <c r="E34" s="2" t="s">
        <v>5</v>
      </c>
      <c r="F34" s="2" t="str">
        <f t="shared" si="0"/>
        <v>E2024018</v>
      </c>
      <c r="G34" s="2" t="s">
        <v>220</v>
      </c>
      <c r="H34" s="6" t="s">
        <v>30</v>
      </c>
      <c r="I34" s="6" t="s">
        <v>32</v>
      </c>
      <c r="J34" s="15">
        <v>55.96</v>
      </c>
      <c r="K34" s="13">
        <v>32</v>
      </c>
      <c r="L34" s="1"/>
    </row>
    <row r="35" spans="1:12" ht="21.95" customHeight="1">
      <c r="A35" s="1">
        <v>33</v>
      </c>
      <c r="B35" s="2" t="str">
        <f>"刘登辉"</f>
        <v>刘登辉</v>
      </c>
      <c r="C35" s="2" t="str">
        <f>"男"</f>
        <v>男</v>
      </c>
      <c r="D35" s="2" t="s">
        <v>6</v>
      </c>
      <c r="E35" s="2" t="s">
        <v>5</v>
      </c>
      <c r="F35" s="2" t="str">
        <f t="shared" ref="F35:F66" si="2">"E2024018"</f>
        <v>E2024018</v>
      </c>
      <c r="G35" s="2" t="s">
        <v>196</v>
      </c>
      <c r="H35" s="6" t="s">
        <v>55</v>
      </c>
      <c r="I35" s="6" t="s">
        <v>38</v>
      </c>
      <c r="J35" s="15">
        <v>46.16</v>
      </c>
      <c r="K35" s="13">
        <v>33</v>
      </c>
      <c r="L35" s="1"/>
    </row>
    <row r="36" spans="1:12" ht="21.95" customHeight="1">
      <c r="A36" s="1">
        <v>34</v>
      </c>
      <c r="B36" s="2" t="str">
        <f>"曾笛"</f>
        <v>曾笛</v>
      </c>
      <c r="C36" s="2" t="str">
        <f>"女"</f>
        <v>女</v>
      </c>
      <c r="D36" s="2" t="s">
        <v>6</v>
      </c>
      <c r="E36" s="2" t="s">
        <v>5</v>
      </c>
      <c r="F36" s="2" t="str">
        <f t="shared" si="2"/>
        <v>E2024018</v>
      </c>
      <c r="G36" s="2" t="s">
        <v>154</v>
      </c>
      <c r="H36" s="6" t="s">
        <v>70</v>
      </c>
      <c r="I36" s="6" t="s">
        <v>26</v>
      </c>
      <c r="J36" s="15"/>
      <c r="K36" s="13"/>
      <c r="L36" s="3" t="s">
        <v>831</v>
      </c>
    </row>
    <row r="37" spans="1:12" ht="21.95" customHeight="1">
      <c r="A37" s="1">
        <v>35</v>
      </c>
      <c r="B37" s="2" t="str">
        <f>"牟真"</f>
        <v>牟真</v>
      </c>
      <c r="C37" s="2" t="str">
        <f>"男"</f>
        <v>男</v>
      </c>
      <c r="D37" s="2" t="s">
        <v>6</v>
      </c>
      <c r="E37" s="2" t="s">
        <v>5</v>
      </c>
      <c r="F37" s="2" t="str">
        <f t="shared" si="2"/>
        <v>E2024018</v>
      </c>
      <c r="G37" s="2" t="s">
        <v>157</v>
      </c>
      <c r="H37" s="6" t="s">
        <v>73</v>
      </c>
      <c r="I37" s="6" t="s">
        <v>55</v>
      </c>
      <c r="J37" s="15"/>
      <c r="K37" s="13"/>
      <c r="L37" s="3" t="s">
        <v>831</v>
      </c>
    </row>
    <row r="38" spans="1:12" ht="21.95" customHeight="1">
      <c r="A38" s="1">
        <v>36</v>
      </c>
      <c r="B38" s="2" t="str">
        <f>"陈珍"</f>
        <v>陈珍</v>
      </c>
      <c r="C38" s="2" t="str">
        <f>"女"</f>
        <v>女</v>
      </c>
      <c r="D38" s="2" t="s">
        <v>6</v>
      </c>
      <c r="E38" s="2" t="s">
        <v>5</v>
      </c>
      <c r="F38" s="2" t="str">
        <f t="shared" si="2"/>
        <v>E2024018</v>
      </c>
      <c r="G38" s="2" t="s">
        <v>159</v>
      </c>
      <c r="H38" s="6" t="s">
        <v>73</v>
      </c>
      <c r="I38" s="6" t="s">
        <v>56</v>
      </c>
      <c r="J38" s="15"/>
      <c r="K38" s="13"/>
      <c r="L38" s="3" t="s">
        <v>831</v>
      </c>
    </row>
    <row r="39" spans="1:12" ht="21.95" customHeight="1">
      <c r="A39" s="1">
        <v>37</v>
      </c>
      <c r="B39" s="2" t="str">
        <f>"曾杰"</f>
        <v>曾杰</v>
      </c>
      <c r="C39" s="2" t="str">
        <f>"男"</f>
        <v>男</v>
      </c>
      <c r="D39" s="2" t="s">
        <v>6</v>
      </c>
      <c r="E39" s="2" t="s">
        <v>5</v>
      </c>
      <c r="F39" s="2" t="str">
        <f t="shared" si="2"/>
        <v>E2024018</v>
      </c>
      <c r="G39" s="2" t="s">
        <v>162</v>
      </c>
      <c r="H39" s="6" t="s">
        <v>28</v>
      </c>
      <c r="I39" s="6" t="s">
        <v>34</v>
      </c>
      <c r="J39" s="15"/>
      <c r="K39" s="13"/>
      <c r="L39" s="3" t="s">
        <v>831</v>
      </c>
    </row>
    <row r="40" spans="1:12" ht="21.95" customHeight="1">
      <c r="A40" s="1">
        <v>38</v>
      </c>
      <c r="B40" s="2" t="str">
        <f>"任娅丽"</f>
        <v>任娅丽</v>
      </c>
      <c r="C40" s="2" t="str">
        <f>"女"</f>
        <v>女</v>
      </c>
      <c r="D40" s="2" t="s">
        <v>6</v>
      </c>
      <c r="E40" s="2" t="s">
        <v>5</v>
      </c>
      <c r="F40" s="2" t="str">
        <f t="shared" si="2"/>
        <v>E2024018</v>
      </c>
      <c r="G40" s="2" t="s">
        <v>165</v>
      </c>
      <c r="H40" s="6" t="s">
        <v>73</v>
      </c>
      <c r="I40" s="6" t="s">
        <v>59</v>
      </c>
      <c r="J40" s="15"/>
      <c r="K40" s="13"/>
      <c r="L40" s="3" t="s">
        <v>831</v>
      </c>
    </row>
    <row r="41" spans="1:12" ht="21.95" customHeight="1">
      <c r="A41" s="1">
        <v>39</v>
      </c>
      <c r="B41" s="2" t="str">
        <f>"袁州"</f>
        <v>袁州</v>
      </c>
      <c r="C41" s="2" t="str">
        <f>"男"</f>
        <v>男</v>
      </c>
      <c r="D41" s="2" t="s">
        <v>6</v>
      </c>
      <c r="E41" s="2" t="s">
        <v>5</v>
      </c>
      <c r="F41" s="2" t="str">
        <f t="shared" si="2"/>
        <v>E2024018</v>
      </c>
      <c r="G41" s="2" t="s">
        <v>166</v>
      </c>
      <c r="H41" s="6" t="s">
        <v>28</v>
      </c>
      <c r="I41" s="6" t="s">
        <v>38</v>
      </c>
      <c r="J41" s="15"/>
      <c r="K41" s="13"/>
      <c r="L41" s="3" t="s">
        <v>831</v>
      </c>
    </row>
    <row r="42" spans="1:12" ht="21.95" customHeight="1">
      <c r="A42" s="1">
        <v>40</v>
      </c>
      <c r="B42" s="2" t="str">
        <f>"黄梦玲"</f>
        <v>黄梦玲</v>
      </c>
      <c r="C42" s="2" t="str">
        <f>"女"</f>
        <v>女</v>
      </c>
      <c r="D42" s="2" t="s">
        <v>6</v>
      </c>
      <c r="E42" s="2" t="s">
        <v>5</v>
      </c>
      <c r="F42" s="2" t="str">
        <f t="shared" si="2"/>
        <v>E2024018</v>
      </c>
      <c r="G42" s="2" t="s">
        <v>167</v>
      </c>
      <c r="H42" s="6" t="s">
        <v>73</v>
      </c>
      <c r="I42" s="6" t="s">
        <v>60</v>
      </c>
      <c r="J42" s="15"/>
      <c r="K42" s="13"/>
      <c r="L42" s="3" t="s">
        <v>831</v>
      </c>
    </row>
    <row r="43" spans="1:12" ht="21.95" customHeight="1">
      <c r="A43" s="1">
        <v>41</v>
      </c>
      <c r="B43" s="2" t="str">
        <f>"高以青"</f>
        <v>高以青</v>
      </c>
      <c r="C43" s="2" t="str">
        <f>"男"</f>
        <v>男</v>
      </c>
      <c r="D43" s="2" t="s">
        <v>6</v>
      </c>
      <c r="E43" s="2" t="s">
        <v>5</v>
      </c>
      <c r="F43" s="2" t="str">
        <f t="shared" si="2"/>
        <v>E2024018</v>
      </c>
      <c r="G43" s="2" t="s">
        <v>168</v>
      </c>
      <c r="H43" s="6" t="s">
        <v>28</v>
      </c>
      <c r="I43" s="6" t="s">
        <v>40</v>
      </c>
      <c r="J43" s="15"/>
      <c r="K43" s="13"/>
      <c r="L43" s="3" t="s">
        <v>831</v>
      </c>
    </row>
    <row r="44" spans="1:12" ht="21.95" customHeight="1">
      <c r="A44" s="1">
        <v>42</v>
      </c>
      <c r="B44" s="2" t="str">
        <f>"赵明明"</f>
        <v>赵明明</v>
      </c>
      <c r="C44" s="2" t="str">
        <f>"男"</f>
        <v>男</v>
      </c>
      <c r="D44" s="2" t="s">
        <v>6</v>
      </c>
      <c r="E44" s="2" t="s">
        <v>5</v>
      </c>
      <c r="F44" s="2" t="str">
        <f t="shared" si="2"/>
        <v>E2024018</v>
      </c>
      <c r="G44" s="2" t="s">
        <v>169</v>
      </c>
      <c r="H44" s="6" t="s">
        <v>73</v>
      </c>
      <c r="I44" s="6" t="s">
        <v>61</v>
      </c>
      <c r="J44" s="15"/>
      <c r="K44" s="13"/>
      <c r="L44" s="3" t="s">
        <v>831</v>
      </c>
    </row>
    <row r="45" spans="1:12" ht="21.95" customHeight="1">
      <c r="A45" s="1">
        <v>43</v>
      </c>
      <c r="B45" s="2" t="str">
        <f>"田娟"</f>
        <v>田娟</v>
      </c>
      <c r="C45" s="2" t="str">
        <f>"女"</f>
        <v>女</v>
      </c>
      <c r="D45" s="2" t="s">
        <v>6</v>
      </c>
      <c r="E45" s="2" t="s">
        <v>5</v>
      </c>
      <c r="F45" s="2" t="str">
        <f t="shared" si="2"/>
        <v>E2024018</v>
      </c>
      <c r="G45" s="2" t="s">
        <v>170</v>
      </c>
      <c r="H45" s="6" t="s">
        <v>28</v>
      </c>
      <c r="I45" s="6" t="s">
        <v>42</v>
      </c>
      <c r="J45" s="15"/>
      <c r="K45" s="13"/>
      <c r="L45" s="3" t="s">
        <v>831</v>
      </c>
    </row>
    <row r="46" spans="1:12" ht="21.95" customHeight="1">
      <c r="A46" s="1">
        <v>44</v>
      </c>
      <c r="B46" s="2" t="str">
        <f>"廖坤"</f>
        <v>廖坤</v>
      </c>
      <c r="C46" s="2" t="str">
        <f>"男"</f>
        <v>男</v>
      </c>
      <c r="D46" s="2" t="s">
        <v>6</v>
      </c>
      <c r="E46" s="2" t="s">
        <v>5</v>
      </c>
      <c r="F46" s="2" t="str">
        <f t="shared" si="2"/>
        <v>E2024018</v>
      </c>
      <c r="G46" s="2" t="s">
        <v>172</v>
      </c>
      <c r="H46" s="6" t="s">
        <v>28</v>
      </c>
      <c r="I46" s="6" t="s">
        <v>44</v>
      </c>
      <c r="J46" s="15"/>
      <c r="K46" s="13"/>
      <c r="L46" s="3" t="s">
        <v>831</v>
      </c>
    </row>
    <row r="47" spans="1:12" ht="21.95" customHeight="1">
      <c r="A47" s="1">
        <v>45</v>
      </c>
      <c r="B47" s="2" t="str">
        <f>"冉珊"</f>
        <v>冉珊</v>
      </c>
      <c r="C47" s="2" t="str">
        <f>"女"</f>
        <v>女</v>
      </c>
      <c r="D47" s="2" t="s">
        <v>6</v>
      </c>
      <c r="E47" s="2" t="s">
        <v>5</v>
      </c>
      <c r="F47" s="2" t="str">
        <f t="shared" si="2"/>
        <v>E2024018</v>
      </c>
      <c r="G47" s="2" t="s">
        <v>173</v>
      </c>
      <c r="H47" s="6" t="s">
        <v>73</v>
      </c>
      <c r="I47" s="6" t="s">
        <v>63</v>
      </c>
      <c r="J47" s="15"/>
      <c r="K47" s="13"/>
      <c r="L47" s="3" t="s">
        <v>831</v>
      </c>
    </row>
    <row r="48" spans="1:12" ht="21.95" customHeight="1">
      <c r="A48" s="1">
        <v>46</v>
      </c>
      <c r="B48" s="2" t="str">
        <f>"张子禄"</f>
        <v>张子禄</v>
      </c>
      <c r="C48" s="2" t="str">
        <f>"男"</f>
        <v>男</v>
      </c>
      <c r="D48" s="2" t="s">
        <v>6</v>
      </c>
      <c r="E48" s="2" t="s">
        <v>5</v>
      </c>
      <c r="F48" s="2" t="str">
        <f t="shared" si="2"/>
        <v>E2024018</v>
      </c>
      <c r="G48" s="2" t="s">
        <v>174</v>
      </c>
      <c r="H48" s="6" t="s">
        <v>28</v>
      </c>
      <c r="I48" s="6" t="s">
        <v>46</v>
      </c>
      <c r="J48" s="15"/>
      <c r="K48" s="13"/>
      <c r="L48" s="3" t="s">
        <v>831</v>
      </c>
    </row>
    <row r="49" spans="1:12" ht="21.95" customHeight="1">
      <c r="A49" s="1">
        <v>47</v>
      </c>
      <c r="B49" s="2" t="str">
        <f>"马丽丽"</f>
        <v>马丽丽</v>
      </c>
      <c r="C49" s="2" t="str">
        <f>"女"</f>
        <v>女</v>
      </c>
      <c r="D49" s="2" t="s">
        <v>6</v>
      </c>
      <c r="E49" s="2" t="s">
        <v>5</v>
      </c>
      <c r="F49" s="2" t="str">
        <f t="shared" si="2"/>
        <v>E2024018</v>
      </c>
      <c r="G49" s="2" t="s">
        <v>175</v>
      </c>
      <c r="H49" s="6" t="s">
        <v>73</v>
      </c>
      <c r="I49" s="6" t="s">
        <v>64</v>
      </c>
      <c r="J49" s="15"/>
      <c r="K49" s="13"/>
      <c r="L49" s="3" t="s">
        <v>831</v>
      </c>
    </row>
    <row r="50" spans="1:12" ht="21.95" customHeight="1">
      <c r="A50" s="1">
        <v>48</v>
      </c>
      <c r="B50" s="2" t="str">
        <f>"郑刘萍"</f>
        <v>郑刘萍</v>
      </c>
      <c r="C50" s="2" t="str">
        <f>"女"</f>
        <v>女</v>
      </c>
      <c r="D50" s="2" t="s">
        <v>6</v>
      </c>
      <c r="E50" s="2" t="s">
        <v>5</v>
      </c>
      <c r="F50" s="2" t="str">
        <f t="shared" si="2"/>
        <v>E2024018</v>
      </c>
      <c r="G50" s="2" t="s">
        <v>176</v>
      </c>
      <c r="H50" s="6" t="s">
        <v>28</v>
      </c>
      <c r="I50" s="6" t="s">
        <v>48</v>
      </c>
      <c r="J50" s="15"/>
      <c r="K50" s="13"/>
      <c r="L50" s="3" t="s">
        <v>831</v>
      </c>
    </row>
    <row r="51" spans="1:12" ht="21.95" customHeight="1">
      <c r="A51" s="1">
        <v>49</v>
      </c>
      <c r="B51" s="2" t="str">
        <f>"吴慧"</f>
        <v>吴慧</v>
      </c>
      <c r="C51" s="2" t="str">
        <f>"女"</f>
        <v>女</v>
      </c>
      <c r="D51" s="2" t="s">
        <v>6</v>
      </c>
      <c r="E51" s="2" t="s">
        <v>5</v>
      </c>
      <c r="F51" s="2" t="str">
        <f t="shared" si="2"/>
        <v>E2024018</v>
      </c>
      <c r="G51" s="2" t="s">
        <v>177</v>
      </c>
      <c r="H51" s="6" t="s">
        <v>73</v>
      </c>
      <c r="I51" s="6" t="s">
        <v>65</v>
      </c>
      <c r="J51" s="15"/>
      <c r="K51" s="13"/>
      <c r="L51" s="3" t="s">
        <v>831</v>
      </c>
    </row>
    <row r="52" spans="1:12" ht="21.95" customHeight="1">
      <c r="A52" s="1">
        <v>50</v>
      </c>
      <c r="B52" s="2" t="str">
        <f>"田金华"</f>
        <v>田金华</v>
      </c>
      <c r="C52" s="2" t="str">
        <f>"女"</f>
        <v>女</v>
      </c>
      <c r="D52" s="2" t="s">
        <v>6</v>
      </c>
      <c r="E52" s="2" t="s">
        <v>5</v>
      </c>
      <c r="F52" s="2" t="str">
        <f t="shared" si="2"/>
        <v>E2024018</v>
      </c>
      <c r="G52" s="2" t="s">
        <v>180</v>
      </c>
      <c r="H52" s="6" t="s">
        <v>28</v>
      </c>
      <c r="I52" s="6" t="s">
        <v>52</v>
      </c>
      <c r="J52" s="15"/>
      <c r="K52" s="13"/>
      <c r="L52" s="3" t="s">
        <v>831</v>
      </c>
    </row>
    <row r="53" spans="1:12" ht="21.95" customHeight="1">
      <c r="A53" s="1">
        <v>51</v>
      </c>
      <c r="B53" s="2" t="str">
        <f>"王海宇"</f>
        <v>王海宇</v>
      </c>
      <c r="C53" s="2" t="str">
        <f>"男"</f>
        <v>男</v>
      </c>
      <c r="D53" s="2" t="s">
        <v>6</v>
      </c>
      <c r="E53" s="2" t="s">
        <v>5</v>
      </c>
      <c r="F53" s="2" t="str">
        <f t="shared" si="2"/>
        <v>E2024018</v>
      </c>
      <c r="G53" s="2" t="s">
        <v>181</v>
      </c>
      <c r="H53" s="6" t="s">
        <v>73</v>
      </c>
      <c r="I53" s="6" t="s">
        <v>67</v>
      </c>
      <c r="J53" s="15"/>
      <c r="K53" s="13"/>
      <c r="L53" s="3" t="s">
        <v>831</v>
      </c>
    </row>
    <row r="54" spans="1:12" ht="21.95" customHeight="1">
      <c r="A54" s="1">
        <v>52</v>
      </c>
      <c r="B54" s="2" t="str">
        <f>"雷佩"</f>
        <v>雷佩</v>
      </c>
      <c r="C54" s="2" t="str">
        <f>"男"</f>
        <v>男</v>
      </c>
      <c r="D54" s="2" t="s">
        <v>6</v>
      </c>
      <c r="E54" s="2" t="s">
        <v>5</v>
      </c>
      <c r="F54" s="2" t="str">
        <f t="shared" si="2"/>
        <v>E2024018</v>
      </c>
      <c r="G54" s="2" t="s">
        <v>182</v>
      </c>
      <c r="H54" s="6" t="s">
        <v>28</v>
      </c>
      <c r="I54" s="6" t="s">
        <v>71</v>
      </c>
      <c r="J54" s="15"/>
      <c r="K54" s="13"/>
      <c r="L54" s="3" t="s">
        <v>831</v>
      </c>
    </row>
    <row r="55" spans="1:12" ht="21.95" customHeight="1">
      <c r="A55" s="1">
        <v>53</v>
      </c>
      <c r="B55" s="2" t="str">
        <f>"闵露"</f>
        <v>闵露</v>
      </c>
      <c r="C55" s="2" t="str">
        <f>"女"</f>
        <v>女</v>
      </c>
      <c r="D55" s="2" t="s">
        <v>6</v>
      </c>
      <c r="E55" s="2" t="s">
        <v>5</v>
      </c>
      <c r="F55" s="2" t="str">
        <f t="shared" si="2"/>
        <v>E2024018</v>
      </c>
      <c r="G55" s="2" t="s">
        <v>183</v>
      </c>
      <c r="H55" s="6" t="s">
        <v>73</v>
      </c>
      <c r="I55" s="6" t="s">
        <v>72</v>
      </c>
      <c r="J55" s="15"/>
      <c r="K55" s="13"/>
      <c r="L55" s="3" t="s">
        <v>831</v>
      </c>
    </row>
    <row r="56" spans="1:12" ht="21.95" customHeight="1">
      <c r="A56" s="1">
        <v>54</v>
      </c>
      <c r="B56" s="2" t="str">
        <f>"刘红云"</f>
        <v>刘红云</v>
      </c>
      <c r="C56" s="2" t="str">
        <f>"女"</f>
        <v>女</v>
      </c>
      <c r="D56" s="2" t="s">
        <v>6</v>
      </c>
      <c r="E56" s="2" t="s">
        <v>5</v>
      </c>
      <c r="F56" s="2" t="str">
        <f t="shared" si="2"/>
        <v>E2024018</v>
      </c>
      <c r="G56" s="2" t="s">
        <v>186</v>
      </c>
      <c r="H56" s="6" t="s">
        <v>55</v>
      </c>
      <c r="I56" s="6" t="s">
        <v>28</v>
      </c>
      <c r="J56" s="15"/>
      <c r="K56" s="13"/>
      <c r="L56" s="3" t="s">
        <v>831</v>
      </c>
    </row>
    <row r="57" spans="1:12" ht="21.95" customHeight="1">
      <c r="A57" s="1">
        <v>55</v>
      </c>
      <c r="B57" s="2" t="str">
        <f>"吕宇乐"</f>
        <v>吕宇乐</v>
      </c>
      <c r="C57" s="2" t="str">
        <f>"女"</f>
        <v>女</v>
      </c>
      <c r="D57" s="2" t="s">
        <v>6</v>
      </c>
      <c r="E57" s="2" t="s">
        <v>5</v>
      </c>
      <c r="F57" s="2" t="str">
        <f t="shared" si="2"/>
        <v>E2024018</v>
      </c>
      <c r="G57" s="2" t="s">
        <v>187</v>
      </c>
      <c r="H57" s="6" t="s">
        <v>55</v>
      </c>
      <c r="I57" s="6" t="s">
        <v>55</v>
      </c>
      <c r="J57" s="15"/>
      <c r="K57" s="13"/>
      <c r="L57" s="3" t="s">
        <v>831</v>
      </c>
    </row>
    <row r="58" spans="1:12" ht="21.95" customHeight="1">
      <c r="A58" s="1">
        <v>56</v>
      </c>
      <c r="B58" s="2" t="str">
        <f>"邓宇"</f>
        <v>邓宇</v>
      </c>
      <c r="C58" s="2" t="str">
        <f>"女"</f>
        <v>女</v>
      </c>
      <c r="D58" s="2" t="s">
        <v>6</v>
      </c>
      <c r="E58" s="2" t="s">
        <v>5</v>
      </c>
      <c r="F58" s="2" t="str">
        <f t="shared" si="2"/>
        <v>E2024018</v>
      </c>
      <c r="G58" s="2" t="s">
        <v>188</v>
      </c>
      <c r="H58" s="6" t="s">
        <v>55</v>
      </c>
      <c r="I58" s="6" t="s">
        <v>30</v>
      </c>
      <c r="J58" s="15"/>
      <c r="K58" s="13"/>
      <c r="L58" s="3" t="s">
        <v>831</v>
      </c>
    </row>
    <row r="59" spans="1:12" ht="21.95" customHeight="1">
      <c r="A59" s="1">
        <v>57</v>
      </c>
      <c r="B59" s="2" t="str">
        <f>"姚国燊"</f>
        <v>姚国燊</v>
      </c>
      <c r="C59" s="2" t="str">
        <f>"男"</f>
        <v>男</v>
      </c>
      <c r="D59" s="2" t="s">
        <v>6</v>
      </c>
      <c r="E59" s="2" t="s">
        <v>5</v>
      </c>
      <c r="F59" s="2" t="str">
        <f t="shared" si="2"/>
        <v>E2024018</v>
      </c>
      <c r="G59" s="2" t="s">
        <v>193</v>
      </c>
      <c r="H59" s="6" t="s">
        <v>55</v>
      </c>
      <c r="I59" s="6" t="s">
        <v>58</v>
      </c>
      <c r="J59" s="15"/>
      <c r="K59" s="13"/>
      <c r="L59" s="3" t="s">
        <v>831</v>
      </c>
    </row>
    <row r="60" spans="1:12" ht="21.95" customHeight="1">
      <c r="A60" s="1">
        <v>58</v>
      </c>
      <c r="B60" s="2" t="str">
        <f>"覃恋"</f>
        <v>覃恋</v>
      </c>
      <c r="C60" s="2" t="str">
        <f>"女"</f>
        <v>女</v>
      </c>
      <c r="D60" s="2" t="s">
        <v>6</v>
      </c>
      <c r="E60" s="2" t="s">
        <v>5</v>
      </c>
      <c r="F60" s="2" t="str">
        <f t="shared" si="2"/>
        <v>E2024018</v>
      </c>
      <c r="G60" s="2" t="s">
        <v>194</v>
      </c>
      <c r="H60" s="6" t="s">
        <v>55</v>
      </c>
      <c r="I60" s="6" t="s">
        <v>36</v>
      </c>
      <c r="J60" s="15"/>
      <c r="K60" s="13"/>
      <c r="L60" s="3" t="s">
        <v>831</v>
      </c>
    </row>
    <row r="61" spans="1:12" ht="21.95" customHeight="1">
      <c r="A61" s="1">
        <v>59</v>
      </c>
      <c r="B61" s="2" t="str">
        <f>"王兴焱"</f>
        <v>王兴焱</v>
      </c>
      <c r="C61" s="2" t="str">
        <f>"女"</f>
        <v>女</v>
      </c>
      <c r="D61" s="2" t="s">
        <v>6</v>
      </c>
      <c r="E61" s="2" t="s">
        <v>5</v>
      </c>
      <c r="F61" s="2" t="str">
        <f t="shared" si="2"/>
        <v>E2024018</v>
      </c>
      <c r="G61" s="2" t="s">
        <v>197</v>
      </c>
      <c r="H61" s="6" t="s">
        <v>55</v>
      </c>
      <c r="I61" s="6" t="s">
        <v>60</v>
      </c>
      <c r="J61" s="15"/>
      <c r="K61" s="13"/>
      <c r="L61" s="3" t="s">
        <v>831</v>
      </c>
    </row>
    <row r="62" spans="1:12" ht="21.95" customHeight="1">
      <c r="A62" s="1">
        <v>60</v>
      </c>
      <c r="B62" s="2" t="str">
        <f>"彭小槟"</f>
        <v>彭小槟</v>
      </c>
      <c r="C62" s="2" t="str">
        <f t="shared" ref="C62:C68" si="3">"男"</f>
        <v>男</v>
      </c>
      <c r="D62" s="2" t="s">
        <v>6</v>
      </c>
      <c r="E62" s="2" t="s">
        <v>5</v>
      </c>
      <c r="F62" s="2" t="str">
        <f t="shared" si="2"/>
        <v>E2024018</v>
      </c>
      <c r="G62" s="2" t="s">
        <v>198</v>
      </c>
      <c r="H62" s="6" t="s">
        <v>55</v>
      </c>
      <c r="I62" s="6" t="s">
        <v>40</v>
      </c>
      <c r="J62" s="15"/>
      <c r="K62" s="13"/>
      <c r="L62" s="3" t="s">
        <v>831</v>
      </c>
    </row>
    <row r="63" spans="1:12" ht="21.95" customHeight="1">
      <c r="A63" s="1">
        <v>61</v>
      </c>
      <c r="B63" s="2" t="str">
        <f>"卢锋"</f>
        <v>卢锋</v>
      </c>
      <c r="C63" s="2" t="str">
        <f t="shared" si="3"/>
        <v>男</v>
      </c>
      <c r="D63" s="2" t="s">
        <v>6</v>
      </c>
      <c r="E63" s="2" t="s">
        <v>5</v>
      </c>
      <c r="F63" s="2" t="str">
        <f t="shared" si="2"/>
        <v>E2024018</v>
      </c>
      <c r="G63" s="2" t="s">
        <v>199</v>
      </c>
      <c r="H63" s="6" t="s">
        <v>55</v>
      </c>
      <c r="I63" s="6" t="s">
        <v>61</v>
      </c>
      <c r="J63" s="15"/>
      <c r="K63" s="13"/>
      <c r="L63" s="3" t="s">
        <v>831</v>
      </c>
    </row>
    <row r="64" spans="1:12" ht="21.95" customHeight="1">
      <c r="A64" s="1">
        <v>62</v>
      </c>
      <c r="B64" s="2" t="str">
        <f>"袁宗"</f>
        <v>袁宗</v>
      </c>
      <c r="C64" s="2" t="str">
        <f t="shared" si="3"/>
        <v>男</v>
      </c>
      <c r="D64" s="2" t="s">
        <v>6</v>
      </c>
      <c r="E64" s="2" t="s">
        <v>5</v>
      </c>
      <c r="F64" s="2" t="str">
        <f t="shared" si="2"/>
        <v>E2024018</v>
      </c>
      <c r="G64" s="2" t="s">
        <v>200</v>
      </c>
      <c r="H64" s="6" t="s">
        <v>55</v>
      </c>
      <c r="I64" s="6" t="s">
        <v>42</v>
      </c>
      <c r="J64" s="15"/>
      <c r="K64" s="13"/>
      <c r="L64" s="3" t="s">
        <v>831</v>
      </c>
    </row>
    <row r="65" spans="1:12" ht="21.95" customHeight="1">
      <c r="A65" s="1">
        <v>63</v>
      </c>
      <c r="B65" s="2" t="str">
        <f>"侯鸣"</f>
        <v>侯鸣</v>
      </c>
      <c r="C65" s="2" t="str">
        <f t="shared" si="3"/>
        <v>男</v>
      </c>
      <c r="D65" s="2" t="s">
        <v>6</v>
      </c>
      <c r="E65" s="2" t="s">
        <v>5</v>
      </c>
      <c r="F65" s="2" t="str">
        <f t="shared" si="2"/>
        <v>E2024018</v>
      </c>
      <c r="G65" s="2" t="s">
        <v>202</v>
      </c>
      <c r="H65" s="6" t="s">
        <v>55</v>
      </c>
      <c r="I65" s="6" t="s">
        <v>44</v>
      </c>
      <c r="J65" s="15"/>
      <c r="K65" s="13"/>
      <c r="L65" s="3" t="s">
        <v>831</v>
      </c>
    </row>
    <row r="66" spans="1:12" ht="21.95" customHeight="1">
      <c r="A66" s="1">
        <v>64</v>
      </c>
      <c r="B66" s="2" t="str">
        <f>"徐永朋"</f>
        <v>徐永朋</v>
      </c>
      <c r="C66" s="2" t="str">
        <f t="shared" si="3"/>
        <v>男</v>
      </c>
      <c r="D66" s="2" t="s">
        <v>6</v>
      </c>
      <c r="E66" s="2" t="s">
        <v>5</v>
      </c>
      <c r="F66" s="2" t="str">
        <f t="shared" si="2"/>
        <v>E2024018</v>
      </c>
      <c r="G66" s="2" t="s">
        <v>203</v>
      </c>
      <c r="H66" s="6" t="s">
        <v>55</v>
      </c>
      <c r="I66" s="6" t="s">
        <v>63</v>
      </c>
      <c r="J66" s="15"/>
      <c r="K66" s="13"/>
      <c r="L66" s="3" t="s">
        <v>831</v>
      </c>
    </row>
    <row r="67" spans="1:12" ht="21.95" customHeight="1">
      <c r="A67" s="1">
        <v>65</v>
      </c>
      <c r="B67" s="2" t="str">
        <f>"向云"</f>
        <v>向云</v>
      </c>
      <c r="C67" s="2" t="str">
        <f t="shared" si="3"/>
        <v>男</v>
      </c>
      <c r="D67" s="2" t="s">
        <v>6</v>
      </c>
      <c r="E67" s="2" t="s">
        <v>5</v>
      </c>
      <c r="F67" s="2" t="str">
        <f t="shared" ref="F67:F98" si="4">"E2024018"</f>
        <v>E2024018</v>
      </c>
      <c r="G67" s="2" t="s">
        <v>204</v>
      </c>
      <c r="H67" s="6" t="s">
        <v>55</v>
      </c>
      <c r="I67" s="6" t="s">
        <v>46</v>
      </c>
      <c r="J67" s="15"/>
      <c r="K67" s="13"/>
      <c r="L67" s="3" t="s">
        <v>831</v>
      </c>
    </row>
    <row r="68" spans="1:12" ht="21.95" customHeight="1">
      <c r="A68" s="1">
        <v>66</v>
      </c>
      <c r="B68" s="2" t="str">
        <f>"别轲"</f>
        <v>别轲</v>
      </c>
      <c r="C68" s="2" t="str">
        <f t="shared" si="3"/>
        <v>男</v>
      </c>
      <c r="D68" s="2" t="s">
        <v>6</v>
      </c>
      <c r="E68" s="2" t="s">
        <v>5</v>
      </c>
      <c r="F68" s="2" t="str">
        <f t="shared" si="4"/>
        <v>E2024018</v>
      </c>
      <c r="G68" s="2" t="s">
        <v>205</v>
      </c>
      <c r="H68" s="6" t="s">
        <v>55</v>
      </c>
      <c r="I68" s="6" t="s">
        <v>64</v>
      </c>
      <c r="J68" s="15"/>
      <c r="K68" s="13"/>
      <c r="L68" s="3" t="s">
        <v>831</v>
      </c>
    </row>
    <row r="69" spans="1:12" ht="21.95" customHeight="1">
      <c r="A69" s="1">
        <v>67</v>
      </c>
      <c r="B69" s="2" t="str">
        <f>"焦红杰"</f>
        <v>焦红杰</v>
      </c>
      <c r="C69" s="2" t="str">
        <f>"女"</f>
        <v>女</v>
      </c>
      <c r="D69" s="2" t="s">
        <v>6</v>
      </c>
      <c r="E69" s="2" t="s">
        <v>5</v>
      </c>
      <c r="F69" s="2" t="str">
        <f t="shared" si="4"/>
        <v>E2024018</v>
      </c>
      <c r="G69" s="2" t="s">
        <v>206</v>
      </c>
      <c r="H69" s="6" t="s">
        <v>55</v>
      </c>
      <c r="I69" s="6" t="s">
        <v>48</v>
      </c>
      <c r="J69" s="15"/>
      <c r="K69" s="13"/>
      <c r="L69" s="3" t="s">
        <v>831</v>
      </c>
    </row>
    <row r="70" spans="1:12" ht="21.95" customHeight="1">
      <c r="A70" s="1">
        <v>68</v>
      </c>
      <c r="B70" s="2" t="str">
        <f>"刘兰兰"</f>
        <v>刘兰兰</v>
      </c>
      <c r="C70" s="2" t="str">
        <f>"女"</f>
        <v>女</v>
      </c>
      <c r="D70" s="2" t="s">
        <v>6</v>
      </c>
      <c r="E70" s="2" t="s">
        <v>5</v>
      </c>
      <c r="F70" s="2" t="str">
        <f t="shared" si="4"/>
        <v>E2024018</v>
      </c>
      <c r="G70" s="2" t="s">
        <v>208</v>
      </c>
      <c r="H70" s="6" t="s">
        <v>55</v>
      </c>
      <c r="I70" s="6" t="s">
        <v>50</v>
      </c>
      <c r="J70" s="15"/>
      <c r="K70" s="13"/>
      <c r="L70" s="3" t="s">
        <v>831</v>
      </c>
    </row>
    <row r="71" spans="1:12" ht="21.95" customHeight="1">
      <c r="A71" s="1">
        <v>69</v>
      </c>
      <c r="B71" s="2" t="str">
        <f>"王妍"</f>
        <v>王妍</v>
      </c>
      <c r="C71" s="2" t="str">
        <f>"女"</f>
        <v>女</v>
      </c>
      <c r="D71" s="2" t="s">
        <v>6</v>
      </c>
      <c r="E71" s="2" t="s">
        <v>5</v>
      </c>
      <c r="F71" s="2" t="str">
        <f t="shared" si="4"/>
        <v>E2024018</v>
      </c>
      <c r="G71" s="2" t="s">
        <v>209</v>
      </c>
      <c r="H71" s="6" t="s">
        <v>55</v>
      </c>
      <c r="I71" s="6" t="s">
        <v>66</v>
      </c>
      <c r="J71" s="15"/>
      <c r="K71" s="13"/>
      <c r="L71" s="3" t="s">
        <v>831</v>
      </c>
    </row>
    <row r="72" spans="1:12" ht="21.95" customHeight="1">
      <c r="A72" s="1">
        <v>70</v>
      </c>
      <c r="B72" s="2" t="str">
        <f>"柳乐"</f>
        <v>柳乐</v>
      </c>
      <c r="C72" s="2" t="str">
        <f>"男"</f>
        <v>男</v>
      </c>
      <c r="D72" s="2" t="s">
        <v>6</v>
      </c>
      <c r="E72" s="2" t="s">
        <v>5</v>
      </c>
      <c r="F72" s="2" t="str">
        <f t="shared" si="4"/>
        <v>E2024018</v>
      </c>
      <c r="G72" s="2" t="s">
        <v>210</v>
      </c>
      <c r="H72" s="6" t="s">
        <v>55</v>
      </c>
      <c r="I72" s="6" t="s">
        <v>52</v>
      </c>
      <c r="J72" s="15"/>
      <c r="K72" s="13"/>
      <c r="L72" s="3" t="s">
        <v>831</v>
      </c>
    </row>
    <row r="73" spans="1:12" ht="21.95" customHeight="1">
      <c r="A73" s="1">
        <v>71</v>
      </c>
      <c r="B73" s="2" t="str">
        <f>"刘莹"</f>
        <v>刘莹</v>
      </c>
      <c r="C73" s="2" t="str">
        <f>"女"</f>
        <v>女</v>
      </c>
      <c r="D73" s="2" t="s">
        <v>6</v>
      </c>
      <c r="E73" s="2" t="s">
        <v>5</v>
      </c>
      <c r="F73" s="2" t="str">
        <f t="shared" si="4"/>
        <v>E2024018</v>
      </c>
      <c r="G73" s="2" t="s">
        <v>213</v>
      </c>
      <c r="H73" s="6" t="s">
        <v>55</v>
      </c>
      <c r="I73" s="6" t="s">
        <v>72</v>
      </c>
      <c r="J73" s="15"/>
      <c r="K73" s="13"/>
      <c r="L73" s="3" t="s">
        <v>831</v>
      </c>
    </row>
    <row r="74" spans="1:12" ht="21.95" customHeight="1">
      <c r="A74" s="1">
        <v>72</v>
      </c>
      <c r="B74" s="2" t="str">
        <f>"黄仕稳"</f>
        <v>黄仕稳</v>
      </c>
      <c r="C74" s="2" t="str">
        <f>"男"</f>
        <v>男</v>
      </c>
      <c r="D74" s="2" t="s">
        <v>6</v>
      </c>
      <c r="E74" s="2" t="s">
        <v>5</v>
      </c>
      <c r="F74" s="2" t="str">
        <f t="shared" si="4"/>
        <v>E2024018</v>
      </c>
      <c r="G74" s="2" t="s">
        <v>215</v>
      </c>
      <c r="H74" s="6" t="s">
        <v>78</v>
      </c>
      <c r="I74" s="6" t="s">
        <v>54</v>
      </c>
      <c r="J74" s="15"/>
      <c r="K74" s="13"/>
      <c r="L74" s="3" t="s">
        <v>831</v>
      </c>
    </row>
    <row r="75" spans="1:12" ht="21.95" customHeight="1">
      <c r="A75" s="1">
        <v>73</v>
      </c>
      <c r="B75" s="2" t="str">
        <f>"张俊"</f>
        <v>张俊</v>
      </c>
      <c r="C75" s="2" t="str">
        <f>"男"</f>
        <v>男</v>
      </c>
      <c r="D75" s="2" t="s">
        <v>6</v>
      </c>
      <c r="E75" s="2" t="s">
        <v>5</v>
      </c>
      <c r="F75" s="2" t="str">
        <f t="shared" si="4"/>
        <v>E2024018</v>
      </c>
      <c r="G75" s="2" t="s">
        <v>216</v>
      </c>
      <c r="H75" s="6" t="s">
        <v>30</v>
      </c>
      <c r="I75" s="6" t="s">
        <v>28</v>
      </c>
      <c r="J75" s="15"/>
      <c r="K75" s="13"/>
      <c r="L75" s="3" t="s">
        <v>831</v>
      </c>
    </row>
    <row r="76" spans="1:12" ht="21.95" customHeight="1">
      <c r="A76" s="1">
        <v>74</v>
      </c>
      <c r="B76" s="2" t="str">
        <f>"朱毅"</f>
        <v>朱毅</v>
      </c>
      <c r="C76" s="2" t="str">
        <f>"男"</f>
        <v>男</v>
      </c>
      <c r="D76" s="2" t="s">
        <v>6</v>
      </c>
      <c r="E76" s="2" t="s">
        <v>5</v>
      </c>
      <c r="F76" s="2" t="str">
        <f t="shared" si="4"/>
        <v>E2024018</v>
      </c>
      <c r="G76" s="2" t="s">
        <v>218</v>
      </c>
      <c r="H76" s="6" t="s">
        <v>30</v>
      </c>
      <c r="I76" s="6" t="s">
        <v>30</v>
      </c>
      <c r="J76" s="15"/>
      <c r="K76" s="13"/>
      <c r="L76" s="3" t="s">
        <v>831</v>
      </c>
    </row>
    <row r="77" spans="1:12" ht="21.95" customHeight="1">
      <c r="A77" s="1">
        <v>75</v>
      </c>
      <c r="B77" s="2" t="str">
        <f>"黄琴琴"</f>
        <v>黄琴琴</v>
      </c>
      <c r="C77" s="2" t="str">
        <f>"女"</f>
        <v>女</v>
      </c>
      <c r="D77" s="2" t="s">
        <v>6</v>
      </c>
      <c r="E77" s="2" t="s">
        <v>5</v>
      </c>
      <c r="F77" s="2" t="str">
        <f t="shared" si="4"/>
        <v>E2024018</v>
      </c>
      <c r="G77" s="2" t="s">
        <v>219</v>
      </c>
      <c r="H77" s="6" t="s">
        <v>30</v>
      </c>
      <c r="I77" s="6" t="s">
        <v>56</v>
      </c>
      <c r="J77" s="15"/>
      <c r="K77" s="13"/>
      <c r="L77" s="3" t="s">
        <v>831</v>
      </c>
    </row>
    <row r="78" spans="1:12" ht="21.95" customHeight="1">
      <c r="A78" s="1">
        <v>76</v>
      </c>
      <c r="B78" s="2" t="str">
        <f>"周恩"</f>
        <v>周恩</v>
      </c>
      <c r="C78" s="2" t="str">
        <f>"男"</f>
        <v>男</v>
      </c>
      <c r="D78" s="2" t="s">
        <v>6</v>
      </c>
      <c r="E78" s="2" t="s">
        <v>5</v>
      </c>
      <c r="F78" s="2" t="str">
        <f t="shared" si="4"/>
        <v>E2024018</v>
      </c>
      <c r="G78" s="2" t="s">
        <v>221</v>
      </c>
      <c r="H78" s="6" t="s">
        <v>30</v>
      </c>
      <c r="I78" s="6" t="s">
        <v>57</v>
      </c>
      <c r="J78" s="15"/>
      <c r="K78" s="13"/>
      <c r="L78" s="3" t="s">
        <v>831</v>
      </c>
    </row>
    <row r="79" spans="1:12" ht="21.95" customHeight="1">
      <c r="A79" s="1">
        <v>77</v>
      </c>
      <c r="B79" s="2" t="str">
        <f>"张登攀"</f>
        <v>张登攀</v>
      </c>
      <c r="C79" s="2" t="str">
        <f>"男"</f>
        <v>男</v>
      </c>
      <c r="D79" s="2" t="s">
        <v>6</v>
      </c>
      <c r="E79" s="2" t="s">
        <v>5</v>
      </c>
      <c r="F79" s="2" t="str">
        <f t="shared" si="4"/>
        <v>E2024018</v>
      </c>
      <c r="G79" s="2" t="s">
        <v>223</v>
      </c>
      <c r="H79" s="6" t="s">
        <v>30</v>
      </c>
      <c r="I79" s="6" t="s">
        <v>58</v>
      </c>
      <c r="J79" s="15"/>
      <c r="K79" s="13"/>
      <c r="L79" s="3" t="s">
        <v>831</v>
      </c>
    </row>
    <row r="80" spans="1:12" ht="21.95" customHeight="1">
      <c r="A80" s="1">
        <v>78</v>
      </c>
      <c r="B80" s="2" t="str">
        <f>"杨鋆"</f>
        <v>杨鋆</v>
      </c>
      <c r="C80" s="2" t="str">
        <f>"男"</f>
        <v>男</v>
      </c>
      <c r="D80" s="2" t="s">
        <v>6</v>
      </c>
      <c r="E80" s="2" t="s">
        <v>5</v>
      </c>
      <c r="F80" s="2" t="str">
        <f t="shared" si="4"/>
        <v>E2024018</v>
      </c>
      <c r="G80" s="2" t="s">
        <v>224</v>
      </c>
      <c r="H80" s="6" t="s">
        <v>30</v>
      </c>
      <c r="I80" s="6" t="s">
        <v>36</v>
      </c>
      <c r="J80" s="15"/>
      <c r="K80" s="13"/>
      <c r="L80" s="3" t="s">
        <v>831</v>
      </c>
    </row>
    <row r="81" spans="1:12" ht="21.95" customHeight="1">
      <c r="A81" s="1">
        <v>79</v>
      </c>
      <c r="B81" s="2" t="str">
        <f>"梁心苧"</f>
        <v>梁心苧</v>
      </c>
      <c r="C81" s="2" t="str">
        <f>"女"</f>
        <v>女</v>
      </c>
      <c r="D81" s="2" t="s">
        <v>6</v>
      </c>
      <c r="E81" s="2" t="s">
        <v>5</v>
      </c>
      <c r="F81" s="2" t="str">
        <f t="shared" si="4"/>
        <v>E2024018</v>
      </c>
      <c r="G81" s="2" t="s">
        <v>225</v>
      </c>
      <c r="H81" s="6" t="s">
        <v>30</v>
      </c>
      <c r="I81" s="6" t="s">
        <v>59</v>
      </c>
      <c r="J81" s="15"/>
      <c r="K81" s="13"/>
      <c r="L81" s="3" t="s">
        <v>831</v>
      </c>
    </row>
    <row r="82" spans="1:12" ht="21.95" customHeight="1">
      <c r="A82" s="1">
        <v>80</v>
      </c>
      <c r="B82" s="2" t="str">
        <f>"李爱华"</f>
        <v>李爱华</v>
      </c>
      <c r="C82" s="2" t="str">
        <f>"男"</f>
        <v>男</v>
      </c>
      <c r="D82" s="2" t="s">
        <v>6</v>
      </c>
      <c r="E82" s="2" t="s">
        <v>5</v>
      </c>
      <c r="F82" s="2" t="str">
        <f t="shared" si="4"/>
        <v>E2024018</v>
      </c>
      <c r="G82" s="2" t="s">
        <v>226</v>
      </c>
      <c r="H82" s="6" t="s">
        <v>30</v>
      </c>
      <c r="I82" s="6" t="s">
        <v>38</v>
      </c>
      <c r="J82" s="15"/>
      <c r="K82" s="13"/>
      <c r="L82" s="3" t="s">
        <v>831</v>
      </c>
    </row>
    <row r="83" spans="1:12" ht="21.95" customHeight="1">
      <c r="A83" s="1">
        <v>81</v>
      </c>
      <c r="B83" s="2" t="str">
        <f>"王玉苹"</f>
        <v>王玉苹</v>
      </c>
      <c r="C83" s="2" t="str">
        <f>"女"</f>
        <v>女</v>
      </c>
      <c r="D83" s="2" t="s">
        <v>6</v>
      </c>
      <c r="E83" s="2" t="s">
        <v>5</v>
      </c>
      <c r="F83" s="2" t="str">
        <f t="shared" si="4"/>
        <v>E2024018</v>
      </c>
      <c r="G83" s="2" t="s">
        <v>227</v>
      </c>
      <c r="H83" s="6" t="s">
        <v>30</v>
      </c>
      <c r="I83" s="6" t="s">
        <v>60</v>
      </c>
      <c r="J83" s="15"/>
      <c r="K83" s="13"/>
      <c r="L83" s="3" t="s">
        <v>831</v>
      </c>
    </row>
    <row r="84" spans="1:12" ht="21.95" customHeight="1">
      <c r="A84" s="1">
        <v>82</v>
      </c>
      <c r="B84" s="2" t="str">
        <f>"肖晓双"</f>
        <v>肖晓双</v>
      </c>
      <c r="C84" s="2" t="str">
        <f>"女"</f>
        <v>女</v>
      </c>
      <c r="D84" s="2" t="s">
        <v>6</v>
      </c>
      <c r="E84" s="2" t="s">
        <v>5</v>
      </c>
      <c r="F84" s="2" t="str">
        <f t="shared" si="4"/>
        <v>E2024018</v>
      </c>
      <c r="G84" s="2" t="s">
        <v>228</v>
      </c>
      <c r="H84" s="6" t="s">
        <v>30</v>
      </c>
      <c r="I84" s="6" t="s">
        <v>40</v>
      </c>
      <c r="J84" s="15"/>
      <c r="K84" s="13"/>
      <c r="L84" s="3" t="s">
        <v>831</v>
      </c>
    </row>
    <row r="85" spans="1:12" ht="21.95" customHeight="1">
      <c r="A85" s="1">
        <v>83</v>
      </c>
      <c r="B85" s="2" t="str">
        <f>"杨胭"</f>
        <v>杨胭</v>
      </c>
      <c r="C85" s="2" t="str">
        <f>"女"</f>
        <v>女</v>
      </c>
      <c r="D85" s="2" t="s">
        <v>6</v>
      </c>
      <c r="E85" s="2" t="s">
        <v>5</v>
      </c>
      <c r="F85" s="2" t="str">
        <f t="shared" si="4"/>
        <v>E2024018</v>
      </c>
      <c r="G85" s="2" t="s">
        <v>229</v>
      </c>
      <c r="H85" s="6" t="s">
        <v>30</v>
      </c>
      <c r="I85" s="6" t="s">
        <v>61</v>
      </c>
      <c r="J85" s="15"/>
      <c r="K85" s="13"/>
      <c r="L85" s="3" t="s">
        <v>831</v>
      </c>
    </row>
    <row r="86" spans="1:12" ht="21.95" customHeight="1">
      <c r="A86" s="1">
        <v>84</v>
      </c>
      <c r="B86" s="2" t="str">
        <f>"胡郑涛"</f>
        <v>胡郑涛</v>
      </c>
      <c r="C86" s="2" t="str">
        <f>"男"</f>
        <v>男</v>
      </c>
      <c r="D86" s="2" t="s">
        <v>6</v>
      </c>
      <c r="E86" s="2" t="s">
        <v>5</v>
      </c>
      <c r="F86" s="2" t="str">
        <f t="shared" si="4"/>
        <v>E2024018</v>
      </c>
      <c r="G86" s="2" t="s">
        <v>230</v>
      </c>
      <c r="H86" s="6" t="s">
        <v>30</v>
      </c>
      <c r="I86" s="6" t="s">
        <v>42</v>
      </c>
      <c r="J86" s="15"/>
      <c r="K86" s="13"/>
      <c r="L86" s="3" t="s">
        <v>831</v>
      </c>
    </row>
    <row r="87" spans="1:12" ht="21.95" customHeight="1">
      <c r="A87" s="1">
        <v>85</v>
      </c>
      <c r="B87" s="2" t="str">
        <f>"郑维嘉"</f>
        <v>郑维嘉</v>
      </c>
      <c r="C87" s="2" t="str">
        <f>"男"</f>
        <v>男</v>
      </c>
      <c r="D87" s="2" t="s">
        <v>6</v>
      </c>
      <c r="E87" s="2" t="s">
        <v>5</v>
      </c>
      <c r="F87" s="2" t="str">
        <f t="shared" si="4"/>
        <v>E2024018</v>
      </c>
      <c r="G87" s="2" t="s">
        <v>232</v>
      </c>
      <c r="H87" s="6" t="s">
        <v>30</v>
      </c>
      <c r="I87" s="6" t="s">
        <v>44</v>
      </c>
      <c r="J87" s="15"/>
      <c r="K87" s="13"/>
      <c r="L87" s="3" t="s">
        <v>831</v>
      </c>
    </row>
    <row r="88" spans="1:12" ht="21.95" customHeight="1">
      <c r="A88" s="1">
        <v>86</v>
      </c>
      <c r="B88" s="2" t="str">
        <f>"刘城"</f>
        <v>刘城</v>
      </c>
      <c r="C88" s="2" t="str">
        <f>"男"</f>
        <v>男</v>
      </c>
      <c r="D88" s="2" t="s">
        <v>6</v>
      </c>
      <c r="E88" s="2" t="s">
        <v>5</v>
      </c>
      <c r="F88" s="2" t="str">
        <f t="shared" si="4"/>
        <v>E2024018</v>
      </c>
      <c r="G88" s="2" t="s">
        <v>236</v>
      </c>
      <c r="H88" s="6" t="s">
        <v>30</v>
      </c>
      <c r="I88" s="6" t="s">
        <v>48</v>
      </c>
      <c r="J88" s="15"/>
      <c r="K88" s="13"/>
      <c r="L88" s="3" t="s">
        <v>831</v>
      </c>
    </row>
    <row r="89" spans="1:12" ht="21.95" customHeight="1">
      <c r="A89" s="1">
        <v>87</v>
      </c>
      <c r="B89" s="2" t="str">
        <f>"杨科"</f>
        <v>杨科</v>
      </c>
      <c r="C89" s="2" t="str">
        <f>"男"</f>
        <v>男</v>
      </c>
      <c r="D89" s="2" t="s">
        <v>6</v>
      </c>
      <c r="E89" s="2" t="s">
        <v>5</v>
      </c>
      <c r="F89" s="2" t="str">
        <f t="shared" si="4"/>
        <v>E2024018</v>
      </c>
      <c r="G89" s="2" t="s">
        <v>238</v>
      </c>
      <c r="H89" s="6" t="s">
        <v>30</v>
      </c>
      <c r="I89" s="6" t="s">
        <v>50</v>
      </c>
      <c r="J89" s="15"/>
      <c r="K89" s="13"/>
      <c r="L89" s="3" t="s">
        <v>831</v>
      </c>
    </row>
    <row r="90" spans="1:12" ht="21.95" customHeight="1">
      <c r="A90" s="1">
        <v>88</v>
      </c>
      <c r="B90" s="2" t="str">
        <f>"张源"</f>
        <v>张源</v>
      </c>
      <c r="C90" s="2" t="str">
        <f>"男"</f>
        <v>男</v>
      </c>
      <c r="D90" s="2" t="s">
        <v>6</v>
      </c>
      <c r="E90" s="2" t="s">
        <v>5</v>
      </c>
      <c r="F90" s="2" t="str">
        <f t="shared" si="4"/>
        <v>E2024018</v>
      </c>
      <c r="G90" s="2" t="s">
        <v>239</v>
      </c>
      <c r="H90" s="6" t="s">
        <v>30</v>
      </c>
      <c r="I90" s="6" t="s">
        <v>66</v>
      </c>
      <c r="J90" s="15"/>
      <c r="K90" s="13"/>
      <c r="L90" s="3" t="s">
        <v>831</v>
      </c>
    </row>
    <row r="91" spans="1:12" ht="21.95" customHeight="1">
      <c r="A91" s="1">
        <v>89</v>
      </c>
      <c r="B91" s="2" t="str">
        <f>"向滕"</f>
        <v>向滕</v>
      </c>
      <c r="C91" s="2" t="str">
        <f t="shared" ref="C91:C96" si="5">"女"</f>
        <v>女</v>
      </c>
      <c r="D91" s="2" t="s">
        <v>6</v>
      </c>
      <c r="E91" s="2" t="s">
        <v>5</v>
      </c>
      <c r="F91" s="2" t="str">
        <f t="shared" si="4"/>
        <v>E2024018</v>
      </c>
      <c r="G91" s="2" t="s">
        <v>240</v>
      </c>
      <c r="H91" s="6" t="s">
        <v>30</v>
      </c>
      <c r="I91" s="6" t="s">
        <v>52</v>
      </c>
      <c r="J91" s="15"/>
      <c r="K91" s="13"/>
      <c r="L91" s="3" t="s">
        <v>831</v>
      </c>
    </row>
    <row r="92" spans="1:12" ht="21.95" customHeight="1">
      <c r="A92" s="1">
        <v>90</v>
      </c>
      <c r="B92" s="2" t="str">
        <f>"张帮玲"</f>
        <v>张帮玲</v>
      </c>
      <c r="C92" s="2" t="str">
        <f t="shared" si="5"/>
        <v>女</v>
      </c>
      <c r="D92" s="2" t="s">
        <v>6</v>
      </c>
      <c r="E92" s="2" t="s">
        <v>5</v>
      </c>
      <c r="F92" s="2" t="str">
        <f t="shared" si="4"/>
        <v>E2024018</v>
      </c>
      <c r="G92" s="2" t="s">
        <v>242</v>
      </c>
      <c r="H92" s="6" t="s">
        <v>30</v>
      </c>
      <c r="I92" s="6" t="s">
        <v>71</v>
      </c>
      <c r="J92" s="15"/>
      <c r="K92" s="13"/>
      <c r="L92" s="3" t="s">
        <v>831</v>
      </c>
    </row>
    <row r="93" spans="1:12" ht="21.95" customHeight="1">
      <c r="A93" s="1">
        <v>91</v>
      </c>
      <c r="B93" s="2" t="str">
        <f>"向鑫"</f>
        <v>向鑫</v>
      </c>
      <c r="C93" s="2" t="str">
        <f t="shared" si="5"/>
        <v>女</v>
      </c>
      <c r="D93" s="2" t="s">
        <v>6</v>
      </c>
      <c r="E93" s="2" t="s">
        <v>5</v>
      </c>
      <c r="F93" s="2" t="str">
        <f t="shared" si="4"/>
        <v>E2024018</v>
      </c>
      <c r="G93" s="2" t="s">
        <v>243</v>
      </c>
      <c r="H93" s="6" t="s">
        <v>30</v>
      </c>
      <c r="I93" s="6" t="s">
        <v>72</v>
      </c>
      <c r="J93" s="15"/>
      <c r="K93" s="13"/>
      <c r="L93" s="3" t="s">
        <v>831</v>
      </c>
    </row>
    <row r="94" spans="1:12" ht="21.95" customHeight="1">
      <c r="A94" s="1">
        <v>92</v>
      </c>
      <c r="B94" s="2" t="str">
        <f>"廖珺"</f>
        <v>廖珺</v>
      </c>
      <c r="C94" s="2" t="str">
        <f t="shared" si="5"/>
        <v>女</v>
      </c>
      <c r="D94" s="2" t="s">
        <v>6</v>
      </c>
      <c r="E94" s="2" t="s">
        <v>5</v>
      </c>
      <c r="F94" s="2" t="str">
        <f t="shared" si="4"/>
        <v>E2024018</v>
      </c>
      <c r="G94" s="2" t="s">
        <v>244</v>
      </c>
      <c r="H94" s="6" t="s">
        <v>79</v>
      </c>
      <c r="I94" s="6" t="s">
        <v>26</v>
      </c>
      <c r="J94" s="15"/>
      <c r="K94" s="13"/>
      <c r="L94" s="3" t="s">
        <v>831</v>
      </c>
    </row>
    <row r="95" spans="1:12" ht="21.95" customHeight="1">
      <c r="A95" s="1">
        <v>93</v>
      </c>
      <c r="B95" s="2" t="str">
        <f>"向雅馨"</f>
        <v>向雅馨</v>
      </c>
      <c r="C95" s="2" t="str">
        <f t="shared" si="5"/>
        <v>女</v>
      </c>
      <c r="D95" s="2" t="s">
        <v>6</v>
      </c>
      <c r="E95" s="2" t="s">
        <v>5</v>
      </c>
      <c r="F95" s="2" t="str">
        <f t="shared" si="4"/>
        <v>E2024018</v>
      </c>
      <c r="G95" s="2" t="s">
        <v>246</v>
      </c>
      <c r="H95" s="6" t="s">
        <v>56</v>
      </c>
      <c r="I95" s="6" t="s">
        <v>28</v>
      </c>
      <c r="J95" s="15"/>
      <c r="K95" s="13"/>
      <c r="L95" s="3" t="s">
        <v>831</v>
      </c>
    </row>
    <row r="96" spans="1:12" ht="21.95" customHeight="1">
      <c r="A96" s="1">
        <v>94</v>
      </c>
      <c r="B96" s="2" t="str">
        <f>"刘星"</f>
        <v>刘星</v>
      </c>
      <c r="C96" s="2" t="str">
        <f t="shared" si="5"/>
        <v>女</v>
      </c>
      <c r="D96" s="2" t="s">
        <v>6</v>
      </c>
      <c r="E96" s="2" t="s">
        <v>5</v>
      </c>
      <c r="F96" s="2" t="str">
        <f t="shared" si="4"/>
        <v>E2024018</v>
      </c>
      <c r="G96" s="2" t="s">
        <v>247</v>
      </c>
      <c r="H96" s="6" t="s">
        <v>56</v>
      </c>
      <c r="I96" s="6" t="s">
        <v>55</v>
      </c>
      <c r="J96" s="15"/>
      <c r="K96" s="13"/>
      <c r="L96" s="3" t="s">
        <v>831</v>
      </c>
    </row>
    <row r="97" spans="1:12" ht="21.95" customHeight="1">
      <c r="A97" s="1">
        <v>95</v>
      </c>
      <c r="B97" s="2" t="str">
        <f>"谭城凌"</f>
        <v>谭城凌</v>
      </c>
      <c r="C97" s="2" t="str">
        <f>"男"</f>
        <v>男</v>
      </c>
      <c r="D97" s="2" t="s">
        <v>6</v>
      </c>
      <c r="E97" s="2" t="s">
        <v>5</v>
      </c>
      <c r="F97" s="2" t="str">
        <f t="shared" si="4"/>
        <v>E2024018</v>
      </c>
      <c r="G97" s="2" t="s">
        <v>248</v>
      </c>
      <c r="H97" s="6" t="s">
        <v>56</v>
      </c>
      <c r="I97" s="6" t="s">
        <v>30</v>
      </c>
      <c r="J97" s="15"/>
      <c r="K97" s="13"/>
      <c r="L97" s="3" t="s">
        <v>831</v>
      </c>
    </row>
    <row r="98" spans="1:12" ht="21.95" customHeight="1">
      <c r="A98" s="1">
        <v>96</v>
      </c>
      <c r="B98" s="2" t="str">
        <f>"李勃"</f>
        <v>李勃</v>
      </c>
      <c r="C98" s="2" t="str">
        <f>"男"</f>
        <v>男</v>
      </c>
      <c r="D98" s="2" t="s">
        <v>6</v>
      </c>
      <c r="E98" s="2" t="s">
        <v>5</v>
      </c>
      <c r="F98" s="2" t="str">
        <f t="shared" si="4"/>
        <v>E2024018</v>
      </c>
      <c r="G98" s="2" t="s">
        <v>249</v>
      </c>
      <c r="H98" s="6" t="s">
        <v>56</v>
      </c>
      <c r="I98" s="6" t="s">
        <v>56</v>
      </c>
      <c r="J98" s="15"/>
      <c r="K98" s="13"/>
      <c r="L98" s="3" t="s">
        <v>831</v>
      </c>
    </row>
    <row r="99" spans="1:12" ht="21.95" customHeight="1">
      <c r="A99" s="1">
        <v>97</v>
      </c>
      <c r="B99" s="2" t="str">
        <f>"王维齐"</f>
        <v>王维齐</v>
      </c>
      <c r="C99" s="2" t="str">
        <f>"男"</f>
        <v>男</v>
      </c>
      <c r="D99" s="2" t="s">
        <v>8</v>
      </c>
      <c r="E99" s="2" t="s">
        <v>7</v>
      </c>
      <c r="F99" s="2" t="str">
        <f t="shared" ref="F99:F130" si="6">"E2024019"</f>
        <v>E2024019</v>
      </c>
      <c r="G99" s="2" t="s">
        <v>266</v>
      </c>
      <c r="H99" s="6" t="s">
        <v>56</v>
      </c>
      <c r="I99" s="6" t="s">
        <v>48</v>
      </c>
      <c r="J99" s="15">
        <v>74.87</v>
      </c>
      <c r="K99" s="13">
        <v>1</v>
      </c>
      <c r="L99" s="1"/>
    </row>
    <row r="100" spans="1:12" ht="21.95" customHeight="1">
      <c r="A100" s="1">
        <v>98</v>
      </c>
      <c r="B100" s="2" t="str">
        <f>"李海青"</f>
        <v>李海青</v>
      </c>
      <c r="C100" s="2" t="str">
        <f>"男"</f>
        <v>男</v>
      </c>
      <c r="D100" s="2" t="s">
        <v>8</v>
      </c>
      <c r="E100" s="2" t="s">
        <v>7</v>
      </c>
      <c r="F100" s="2" t="str">
        <f t="shared" si="6"/>
        <v>E2024019</v>
      </c>
      <c r="G100" s="2" t="s">
        <v>278</v>
      </c>
      <c r="H100" s="6" t="s">
        <v>32</v>
      </c>
      <c r="I100" s="6" t="s">
        <v>57</v>
      </c>
      <c r="J100" s="15">
        <v>73.209999999999994</v>
      </c>
      <c r="K100" s="13">
        <v>2</v>
      </c>
      <c r="L100" s="1"/>
    </row>
    <row r="101" spans="1:12" ht="21.95" customHeight="1">
      <c r="A101" s="1">
        <v>99</v>
      </c>
      <c r="B101" s="2" t="str">
        <f>"黄瑜"</f>
        <v>黄瑜</v>
      </c>
      <c r="C101" s="2" t="str">
        <f>"女"</f>
        <v>女</v>
      </c>
      <c r="D101" s="2" t="s">
        <v>8</v>
      </c>
      <c r="E101" s="2" t="s">
        <v>7</v>
      </c>
      <c r="F101" s="2" t="str">
        <f t="shared" si="6"/>
        <v>E2024019</v>
      </c>
      <c r="G101" s="2" t="s">
        <v>288</v>
      </c>
      <c r="H101" s="6" t="s">
        <v>32</v>
      </c>
      <c r="I101" s="6" t="s">
        <v>62</v>
      </c>
      <c r="J101" s="15">
        <v>72.239999999999995</v>
      </c>
      <c r="K101" s="13">
        <v>3</v>
      </c>
      <c r="L101" s="1"/>
    </row>
    <row r="102" spans="1:12" ht="21.95" customHeight="1">
      <c r="A102" s="1">
        <v>100</v>
      </c>
      <c r="B102" s="2" t="str">
        <f>"唐婕"</f>
        <v>唐婕</v>
      </c>
      <c r="C102" s="2" t="str">
        <f>"女"</f>
        <v>女</v>
      </c>
      <c r="D102" s="2" t="s">
        <v>8</v>
      </c>
      <c r="E102" s="2" t="s">
        <v>7</v>
      </c>
      <c r="F102" s="2" t="str">
        <f t="shared" si="6"/>
        <v>E2024019</v>
      </c>
      <c r="G102" s="2" t="s">
        <v>250</v>
      </c>
      <c r="H102" s="6" t="s">
        <v>56</v>
      </c>
      <c r="I102" s="6" t="s">
        <v>32</v>
      </c>
      <c r="J102" s="15">
        <v>71.56</v>
      </c>
      <c r="K102" s="13">
        <v>4</v>
      </c>
      <c r="L102" s="1"/>
    </row>
    <row r="103" spans="1:12" ht="21.95" customHeight="1">
      <c r="A103" s="1">
        <v>101</v>
      </c>
      <c r="B103" s="2" t="str">
        <f>"于兵丰"</f>
        <v>于兵丰</v>
      </c>
      <c r="C103" s="2" t="str">
        <f>"女"</f>
        <v>女</v>
      </c>
      <c r="D103" s="2" t="s">
        <v>8</v>
      </c>
      <c r="E103" s="2" t="s">
        <v>7</v>
      </c>
      <c r="F103" s="2" t="str">
        <f t="shared" si="6"/>
        <v>E2024019</v>
      </c>
      <c r="G103" s="2" t="s">
        <v>269</v>
      </c>
      <c r="H103" s="6" t="s">
        <v>56</v>
      </c>
      <c r="I103" s="6" t="s">
        <v>66</v>
      </c>
      <c r="J103" s="15">
        <v>71.489999999999995</v>
      </c>
      <c r="K103" s="13">
        <v>5</v>
      </c>
      <c r="L103" s="1"/>
    </row>
    <row r="104" spans="1:12" ht="21.95" customHeight="1">
      <c r="A104" s="1">
        <v>102</v>
      </c>
      <c r="B104" s="2" t="str">
        <f>"杨露"</f>
        <v>杨露</v>
      </c>
      <c r="C104" s="2" t="str">
        <f>"女"</f>
        <v>女</v>
      </c>
      <c r="D104" s="2" t="s">
        <v>8</v>
      </c>
      <c r="E104" s="2" t="s">
        <v>7</v>
      </c>
      <c r="F104" s="2" t="str">
        <f t="shared" si="6"/>
        <v>E2024019</v>
      </c>
      <c r="G104" s="2" t="s">
        <v>279</v>
      </c>
      <c r="H104" s="6" t="s">
        <v>32</v>
      </c>
      <c r="I104" s="6" t="s">
        <v>34</v>
      </c>
      <c r="J104" s="15">
        <v>70.09</v>
      </c>
      <c r="K104" s="13">
        <v>6</v>
      </c>
      <c r="L104" s="1"/>
    </row>
    <row r="105" spans="1:12" ht="21.95" customHeight="1">
      <c r="A105" s="1">
        <v>103</v>
      </c>
      <c r="B105" s="2" t="str">
        <f>"黄小宇"</f>
        <v>黄小宇</v>
      </c>
      <c r="C105" s="2" t="str">
        <f>"女"</f>
        <v>女</v>
      </c>
      <c r="D105" s="2" t="s">
        <v>8</v>
      </c>
      <c r="E105" s="2" t="s">
        <v>7</v>
      </c>
      <c r="F105" s="2" t="str">
        <f t="shared" si="6"/>
        <v>E2024019</v>
      </c>
      <c r="G105" s="2" t="s">
        <v>286</v>
      </c>
      <c r="H105" s="6" t="s">
        <v>32</v>
      </c>
      <c r="I105" s="6" t="s">
        <v>61</v>
      </c>
      <c r="J105" s="15">
        <v>70.06</v>
      </c>
      <c r="K105" s="13">
        <v>7</v>
      </c>
      <c r="L105" s="1"/>
    </row>
    <row r="106" spans="1:12" ht="21.95" customHeight="1">
      <c r="A106" s="1">
        <v>104</v>
      </c>
      <c r="B106" s="2" t="str">
        <f>"易德"</f>
        <v>易德</v>
      </c>
      <c r="C106" s="2" t="str">
        <f>"男"</f>
        <v>男</v>
      </c>
      <c r="D106" s="2" t="s">
        <v>8</v>
      </c>
      <c r="E106" s="2" t="s">
        <v>7</v>
      </c>
      <c r="F106" s="2" t="str">
        <f t="shared" si="6"/>
        <v>E2024019</v>
      </c>
      <c r="G106" s="2" t="s">
        <v>283</v>
      </c>
      <c r="H106" s="6" t="s">
        <v>32</v>
      </c>
      <c r="I106" s="6" t="s">
        <v>38</v>
      </c>
      <c r="J106" s="15">
        <v>69.42</v>
      </c>
      <c r="K106" s="13">
        <v>8</v>
      </c>
      <c r="L106" s="1"/>
    </row>
    <row r="107" spans="1:12" ht="21.95" customHeight="1">
      <c r="A107" s="1">
        <v>105</v>
      </c>
      <c r="B107" s="2" t="str">
        <f>"张卓玥"</f>
        <v>张卓玥</v>
      </c>
      <c r="C107" s="2" t="str">
        <f>"女"</f>
        <v>女</v>
      </c>
      <c r="D107" s="2" t="s">
        <v>8</v>
      </c>
      <c r="E107" s="2" t="s">
        <v>7</v>
      </c>
      <c r="F107" s="2" t="str">
        <f t="shared" si="6"/>
        <v>E2024019</v>
      </c>
      <c r="G107" s="2" t="s">
        <v>272</v>
      </c>
      <c r="H107" s="6" t="s">
        <v>80</v>
      </c>
      <c r="I107" s="6" t="s">
        <v>54</v>
      </c>
      <c r="J107" s="15">
        <v>69.14</v>
      </c>
      <c r="K107" s="13">
        <v>9</v>
      </c>
      <c r="L107" s="1"/>
    </row>
    <row r="108" spans="1:12" ht="21.95" customHeight="1">
      <c r="A108" s="1">
        <v>106</v>
      </c>
      <c r="B108" s="2" t="str">
        <f>"曹雁麒"</f>
        <v>曹雁麒</v>
      </c>
      <c r="C108" s="2" t="str">
        <f>"女"</f>
        <v>女</v>
      </c>
      <c r="D108" s="2" t="s">
        <v>8</v>
      </c>
      <c r="E108" s="2" t="s">
        <v>7</v>
      </c>
      <c r="F108" s="2" t="str">
        <f t="shared" si="6"/>
        <v>E2024019</v>
      </c>
      <c r="G108" s="2" t="s">
        <v>270</v>
      </c>
      <c r="H108" s="6" t="s">
        <v>56</v>
      </c>
      <c r="I108" s="6" t="s">
        <v>52</v>
      </c>
      <c r="J108" s="15">
        <v>67.75</v>
      </c>
      <c r="K108" s="13">
        <v>10</v>
      </c>
      <c r="L108" s="1"/>
    </row>
    <row r="109" spans="1:12" ht="21.95" customHeight="1">
      <c r="A109" s="1">
        <v>107</v>
      </c>
      <c r="B109" s="2" t="str">
        <f>"谭宏媛"</f>
        <v>谭宏媛</v>
      </c>
      <c r="C109" s="2" t="str">
        <f>"女"</f>
        <v>女</v>
      </c>
      <c r="D109" s="2" t="s">
        <v>8</v>
      </c>
      <c r="E109" s="2" t="s">
        <v>7</v>
      </c>
      <c r="F109" s="2" t="str">
        <f t="shared" si="6"/>
        <v>E2024019</v>
      </c>
      <c r="G109" s="2" t="s">
        <v>257</v>
      </c>
      <c r="H109" s="6" t="s">
        <v>56</v>
      </c>
      <c r="I109" s="6" t="s">
        <v>60</v>
      </c>
      <c r="J109" s="15">
        <v>67.73</v>
      </c>
      <c r="K109" s="13">
        <v>11</v>
      </c>
      <c r="L109" s="1"/>
    </row>
    <row r="110" spans="1:12" ht="21.95" customHeight="1">
      <c r="A110" s="1">
        <v>108</v>
      </c>
      <c r="B110" s="2" t="str">
        <f>"熊鑫"</f>
        <v>熊鑫</v>
      </c>
      <c r="C110" s="2" t="str">
        <f>"男"</f>
        <v>男</v>
      </c>
      <c r="D110" s="2" t="s">
        <v>8</v>
      </c>
      <c r="E110" s="2" t="s">
        <v>7</v>
      </c>
      <c r="F110" s="2" t="str">
        <f t="shared" si="6"/>
        <v>E2024019</v>
      </c>
      <c r="G110" s="2" t="s">
        <v>274</v>
      </c>
      <c r="H110" s="6" t="s">
        <v>32</v>
      </c>
      <c r="I110" s="6" t="s">
        <v>55</v>
      </c>
      <c r="J110" s="15">
        <v>66.73</v>
      </c>
      <c r="K110" s="13">
        <v>12</v>
      </c>
      <c r="L110" s="1"/>
    </row>
    <row r="111" spans="1:12" ht="21.95" customHeight="1">
      <c r="A111" s="1">
        <v>109</v>
      </c>
      <c r="B111" s="2" t="str">
        <f>"陈欣"</f>
        <v>陈欣</v>
      </c>
      <c r="C111" s="2" t="str">
        <f>"女"</f>
        <v>女</v>
      </c>
      <c r="D111" s="2" t="s">
        <v>8</v>
      </c>
      <c r="E111" s="2" t="s">
        <v>7</v>
      </c>
      <c r="F111" s="2" t="str">
        <f t="shared" si="6"/>
        <v>E2024019</v>
      </c>
      <c r="G111" s="2" t="s">
        <v>284</v>
      </c>
      <c r="H111" s="6" t="s">
        <v>32</v>
      </c>
      <c r="I111" s="6" t="s">
        <v>60</v>
      </c>
      <c r="J111" s="15">
        <v>65.430000000000007</v>
      </c>
      <c r="K111" s="13">
        <v>13</v>
      </c>
      <c r="L111" s="1"/>
    </row>
    <row r="112" spans="1:12" ht="21.95" customHeight="1">
      <c r="A112" s="1">
        <v>110</v>
      </c>
      <c r="B112" s="2" t="str">
        <f>"姜文静"</f>
        <v>姜文静</v>
      </c>
      <c r="C112" s="2" t="str">
        <f>"女"</f>
        <v>女</v>
      </c>
      <c r="D112" s="2" t="s">
        <v>8</v>
      </c>
      <c r="E112" s="2" t="s">
        <v>7</v>
      </c>
      <c r="F112" s="2" t="str">
        <f t="shared" si="6"/>
        <v>E2024019</v>
      </c>
      <c r="G112" s="2" t="s">
        <v>285</v>
      </c>
      <c r="H112" s="6" t="s">
        <v>32</v>
      </c>
      <c r="I112" s="6" t="s">
        <v>40</v>
      </c>
      <c r="J112" s="15">
        <v>64.83</v>
      </c>
      <c r="K112" s="13">
        <v>14</v>
      </c>
      <c r="L112" s="1"/>
    </row>
    <row r="113" spans="1:12" ht="21.95" customHeight="1">
      <c r="A113" s="1">
        <v>111</v>
      </c>
      <c r="B113" s="2" t="str">
        <f>"郑子昂"</f>
        <v>郑子昂</v>
      </c>
      <c r="C113" s="2" t="str">
        <f>"男"</f>
        <v>男</v>
      </c>
      <c r="D113" s="2" t="s">
        <v>8</v>
      </c>
      <c r="E113" s="2" t="s">
        <v>7</v>
      </c>
      <c r="F113" s="2" t="str">
        <f t="shared" si="6"/>
        <v>E2024019</v>
      </c>
      <c r="G113" s="2" t="s">
        <v>253</v>
      </c>
      <c r="H113" s="6" t="s">
        <v>56</v>
      </c>
      <c r="I113" s="6" t="s">
        <v>58</v>
      </c>
      <c r="J113" s="15">
        <v>64.489999999999995</v>
      </c>
      <c r="K113" s="13">
        <v>15</v>
      </c>
      <c r="L113" s="1"/>
    </row>
    <row r="114" spans="1:12" ht="21.95" customHeight="1">
      <c r="A114" s="1">
        <v>112</v>
      </c>
      <c r="B114" s="2" t="str">
        <f>"黄伟"</f>
        <v>黄伟</v>
      </c>
      <c r="C114" s="2" t="str">
        <f>"女"</f>
        <v>女</v>
      </c>
      <c r="D114" s="2" t="s">
        <v>8</v>
      </c>
      <c r="E114" s="2" t="s">
        <v>7</v>
      </c>
      <c r="F114" s="2" t="str">
        <f t="shared" si="6"/>
        <v>E2024019</v>
      </c>
      <c r="G114" s="2" t="s">
        <v>258</v>
      </c>
      <c r="H114" s="6" t="s">
        <v>56</v>
      </c>
      <c r="I114" s="6" t="s">
        <v>40</v>
      </c>
      <c r="J114" s="15">
        <v>63.22</v>
      </c>
      <c r="K114" s="13">
        <v>16</v>
      </c>
      <c r="L114" s="1"/>
    </row>
    <row r="115" spans="1:12" ht="21.95" customHeight="1">
      <c r="A115" s="1">
        <v>113</v>
      </c>
      <c r="B115" s="2" t="str">
        <f>"陈睿"</f>
        <v>陈睿</v>
      </c>
      <c r="C115" s="2" t="str">
        <f>"男"</f>
        <v>男</v>
      </c>
      <c r="D115" s="2" t="s">
        <v>8</v>
      </c>
      <c r="E115" s="2" t="s">
        <v>7</v>
      </c>
      <c r="F115" s="2" t="str">
        <f t="shared" si="6"/>
        <v>E2024019</v>
      </c>
      <c r="G115" s="2" t="s">
        <v>295</v>
      </c>
      <c r="H115" s="6" t="s">
        <v>32</v>
      </c>
      <c r="I115" s="6" t="s">
        <v>50</v>
      </c>
      <c r="J115" s="15">
        <v>62.81</v>
      </c>
      <c r="K115" s="13">
        <v>17</v>
      </c>
      <c r="L115" s="1"/>
    </row>
    <row r="116" spans="1:12" ht="21.95" customHeight="1">
      <c r="A116" s="1">
        <v>114</v>
      </c>
      <c r="B116" s="2" t="str">
        <f>"田卓"</f>
        <v>田卓</v>
      </c>
      <c r="C116" s="2" t="str">
        <f>"男"</f>
        <v>男</v>
      </c>
      <c r="D116" s="2" t="s">
        <v>8</v>
      </c>
      <c r="E116" s="2" t="s">
        <v>7</v>
      </c>
      <c r="F116" s="2" t="str">
        <f t="shared" si="6"/>
        <v>E2024019</v>
      </c>
      <c r="G116" s="2" t="s">
        <v>273</v>
      </c>
      <c r="H116" s="6" t="s">
        <v>32</v>
      </c>
      <c r="I116" s="6" t="s">
        <v>28</v>
      </c>
      <c r="J116" s="15">
        <v>61.55</v>
      </c>
      <c r="K116" s="13">
        <v>18</v>
      </c>
      <c r="L116" s="1"/>
    </row>
    <row r="117" spans="1:12" ht="21.95" customHeight="1">
      <c r="A117" s="1">
        <v>115</v>
      </c>
      <c r="B117" s="2" t="str">
        <f>"张月华"</f>
        <v>张月华</v>
      </c>
      <c r="C117" s="2" t="str">
        <f>"女"</f>
        <v>女</v>
      </c>
      <c r="D117" s="2" t="s">
        <v>8</v>
      </c>
      <c r="E117" s="2" t="s">
        <v>7</v>
      </c>
      <c r="F117" s="2" t="str">
        <f t="shared" si="6"/>
        <v>E2024019</v>
      </c>
      <c r="G117" s="2" t="s">
        <v>262</v>
      </c>
      <c r="H117" s="6" t="s">
        <v>56</v>
      </c>
      <c r="I117" s="6" t="s">
        <v>44</v>
      </c>
      <c r="J117" s="15">
        <v>61.28</v>
      </c>
      <c r="K117" s="13">
        <v>19</v>
      </c>
      <c r="L117" s="1"/>
    </row>
    <row r="118" spans="1:12" ht="21.95" customHeight="1">
      <c r="A118" s="1">
        <v>116</v>
      </c>
      <c r="B118" s="2" t="str">
        <f>"郭臣姞"</f>
        <v>郭臣姞</v>
      </c>
      <c r="C118" s="2" t="str">
        <f>"女"</f>
        <v>女</v>
      </c>
      <c r="D118" s="2" t="s">
        <v>8</v>
      </c>
      <c r="E118" s="2" t="s">
        <v>7</v>
      </c>
      <c r="F118" s="2" t="str">
        <f t="shared" si="6"/>
        <v>E2024019</v>
      </c>
      <c r="G118" s="2" t="s">
        <v>287</v>
      </c>
      <c r="H118" s="6" t="s">
        <v>32</v>
      </c>
      <c r="I118" s="6" t="s">
        <v>42</v>
      </c>
      <c r="J118" s="15">
        <v>59.05</v>
      </c>
      <c r="K118" s="13">
        <v>20</v>
      </c>
      <c r="L118" s="1"/>
    </row>
    <row r="119" spans="1:12" ht="21.95" customHeight="1">
      <c r="A119" s="1">
        <v>117</v>
      </c>
      <c r="B119" s="2" t="str">
        <f>"向欣"</f>
        <v>向欣</v>
      </c>
      <c r="C119" s="2" t="str">
        <f>"女"</f>
        <v>女</v>
      </c>
      <c r="D119" s="2" t="s">
        <v>8</v>
      </c>
      <c r="E119" s="2" t="s">
        <v>7</v>
      </c>
      <c r="F119" s="2" t="str">
        <f t="shared" si="6"/>
        <v>E2024019</v>
      </c>
      <c r="G119" s="2" t="s">
        <v>265</v>
      </c>
      <c r="H119" s="6" t="s">
        <v>56</v>
      </c>
      <c r="I119" s="6" t="s">
        <v>64</v>
      </c>
      <c r="J119" s="15">
        <v>57.51</v>
      </c>
      <c r="K119" s="13">
        <v>21</v>
      </c>
      <c r="L119" s="1"/>
    </row>
    <row r="120" spans="1:12" ht="21.95" customHeight="1">
      <c r="A120" s="1">
        <v>118</v>
      </c>
      <c r="B120" s="2" t="str">
        <f>"祁昕"</f>
        <v>祁昕</v>
      </c>
      <c r="C120" s="2" t="str">
        <f>"男"</f>
        <v>男</v>
      </c>
      <c r="D120" s="2" t="s">
        <v>8</v>
      </c>
      <c r="E120" s="2" t="s">
        <v>7</v>
      </c>
      <c r="F120" s="2" t="str">
        <f t="shared" si="6"/>
        <v>E2024019</v>
      </c>
      <c r="G120" s="2" t="s">
        <v>267</v>
      </c>
      <c r="H120" s="6" t="s">
        <v>56</v>
      </c>
      <c r="I120" s="6" t="s">
        <v>65</v>
      </c>
      <c r="J120" s="15">
        <v>56.52</v>
      </c>
      <c r="K120" s="13">
        <v>22</v>
      </c>
      <c r="L120" s="1"/>
    </row>
    <row r="121" spans="1:12" ht="21.95" customHeight="1">
      <c r="A121" s="1">
        <v>119</v>
      </c>
      <c r="B121" s="2" t="str">
        <f>"高芹芹"</f>
        <v>高芹芹</v>
      </c>
      <c r="C121" s="2" t="str">
        <f t="shared" ref="C121:C130" si="7">"女"</f>
        <v>女</v>
      </c>
      <c r="D121" s="2" t="s">
        <v>8</v>
      </c>
      <c r="E121" s="2" t="s">
        <v>7</v>
      </c>
      <c r="F121" s="2" t="str">
        <f t="shared" si="6"/>
        <v>E2024019</v>
      </c>
      <c r="G121" s="2" t="s">
        <v>260</v>
      </c>
      <c r="H121" s="6" t="s">
        <v>56</v>
      </c>
      <c r="I121" s="6" t="s">
        <v>42</v>
      </c>
      <c r="J121" s="15">
        <v>51.78</v>
      </c>
      <c r="K121" s="13">
        <v>23</v>
      </c>
      <c r="L121" s="1"/>
    </row>
    <row r="122" spans="1:12" ht="21.95" customHeight="1">
      <c r="A122" s="1">
        <v>120</v>
      </c>
      <c r="B122" s="2" t="str">
        <f>"王蓂妍"</f>
        <v>王蓂妍</v>
      </c>
      <c r="C122" s="2" t="str">
        <f t="shared" si="7"/>
        <v>女</v>
      </c>
      <c r="D122" s="2" t="s">
        <v>8</v>
      </c>
      <c r="E122" s="2" t="s">
        <v>7</v>
      </c>
      <c r="F122" s="2" t="str">
        <f t="shared" si="6"/>
        <v>E2024019</v>
      </c>
      <c r="G122" s="2" t="s">
        <v>251</v>
      </c>
      <c r="H122" s="6" t="s">
        <v>56</v>
      </c>
      <c r="I122" s="6" t="s">
        <v>57</v>
      </c>
      <c r="J122" s="15"/>
      <c r="K122" s="13"/>
      <c r="L122" s="3" t="s">
        <v>831</v>
      </c>
    </row>
    <row r="123" spans="1:12" ht="21.95" customHeight="1">
      <c r="A123" s="1">
        <v>121</v>
      </c>
      <c r="B123" s="2" t="str">
        <f>"张文念"</f>
        <v>张文念</v>
      </c>
      <c r="C123" s="2" t="str">
        <f t="shared" si="7"/>
        <v>女</v>
      </c>
      <c r="D123" s="2" t="s">
        <v>8</v>
      </c>
      <c r="E123" s="2" t="s">
        <v>7</v>
      </c>
      <c r="F123" s="2" t="str">
        <f t="shared" si="6"/>
        <v>E2024019</v>
      </c>
      <c r="G123" s="2" t="s">
        <v>252</v>
      </c>
      <c r="H123" s="6" t="s">
        <v>56</v>
      </c>
      <c r="I123" s="6" t="s">
        <v>34</v>
      </c>
      <c r="J123" s="15"/>
      <c r="K123" s="13"/>
      <c r="L123" s="3" t="s">
        <v>831</v>
      </c>
    </row>
    <row r="124" spans="1:12" ht="21.95" customHeight="1">
      <c r="A124" s="1">
        <v>122</v>
      </c>
      <c r="B124" s="2" t="str">
        <f>"张倩"</f>
        <v>张倩</v>
      </c>
      <c r="C124" s="2" t="str">
        <f t="shared" si="7"/>
        <v>女</v>
      </c>
      <c r="D124" s="2" t="s">
        <v>8</v>
      </c>
      <c r="E124" s="2" t="s">
        <v>7</v>
      </c>
      <c r="F124" s="2" t="str">
        <f t="shared" si="6"/>
        <v>E2024019</v>
      </c>
      <c r="G124" s="2" t="s">
        <v>254</v>
      </c>
      <c r="H124" s="6" t="s">
        <v>56</v>
      </c>
      <c r="I124" s="6" t="s">
        <v>36</v>
      </c>
      <c r="J124" s="15"/>
      <c r="K124" s="13"/>
      <c r="L124" s="3" t="s">
        <v>831</v>
      </c>
    </row>
    <row r="125" spans="1:12" ht="21.95" customHeight="1">
      <c r="A125" s="1">
        <v>123</v>
      </c>
      <c r="B125" s="2" t="str">
        <f>"尹相木"</f>
        <v>尹相木</v>
      </c>
      <c r="C125" s="2" t="str">
        <f t="shared" si="7"/>
        <v>女</v>
      </c>
      <c r="D125" s="2" t="s">
        <v>8</v>
      </c>
      <c r="E125" s="2" t="s">
        <v>7</v>
      </c>
      <c r="F125" s="2" t="str">
        <f t="shared" si="6"/>
        <v>E2024019</v>
      </c>
      <c r="G125" s="2" t="s">
        <v>255</v>
      </c>
      <c r="H125" s="6" t="s">
        <v>56</v>
      </c>
      <c r="I125" s="6" t="s">
        <v>59</v>
      </c>
      <c r="J125" s="15"/>
      <c r="K125" s="13"/>
      <c r="L125" s="3" t="s">
        <v>831</v>
      </c>
    </row>
    <row r="126" spans="1:12" ht="21.95" customHeight="1">
      <c r="A126" s="1">
        <v>124</v>
      </c>
      <c r="B126" s="2" t="str">
        <f>"刘春泉"</f>
        <v>刘春泉</v>
      </c>
      <c r="C126" s="2" t="str">
        <f t="shared" si="7"/>
        <v>女</v>
      </c>
      <c r="D126" s="2" t="s">
        <v>8</v>
      </c>
      <c r="E126" s="2" t="s">
        <v>7</v>
      </c>
      <c r="F126" s="2" t="str">
        <f t="shared" si="6"/>
        <v>E2024019</v>
      </c>
      <c r="G126" s="2" t="s">
        <v>256</v>
      </c>
      <c r="H126" s="6" t="s">
        <v>56</v>
      </c>
      <c r="I126" s="6" t="s">
        <v>38</v>
      </c>
      <c r="J126" s="15"/>
      <c r="K126" s="13"/>
      <c r="L126" s="3" t="s">
        <v>831</v>
      </c>
    </row>
    <row r="127" spans="1:12" ht="21.95" customHeight="1">
      <c r="A127" s="1">
        <v>125</v>
      </c>
      <c r="B127" s="2" t="str">
        <f>"尤小萌"</f>
        <v>尤小萌</v>
      </c>
      <c r="C127" s="2" t="str">
        <f t="shared" si="7"/>
        <v>女</v>
      </c>
      <c r="D127" s="2" t="s">
        <v>8</v>
      </c>
      <c r="E127" s="2" t="s">
        <v>7</v>
      </c>
      <c r="F127" s="2" t="str">
        <f t="shared" si="6"/>
        <v>E2024019</v>
      </c>
      <c r="G127" s="2" t="s">
        <v>259</v>
      </c>
      <c r="H127" s="6" t="s">
        <v>56</v>
      </c>
      <c r="I127" s="6" t="s">
        <v>61</v>
      </c>
      <c r="J127" s="15"/>
      <c r="K127" s="13"/>
      <c r="L127" s="3" t="s">
        <v>831</v>
      </c>
    </row>
    <row r="128" spans="1:12" ht="21.95" customHeight="1">
      <c r="A128" s="1">
        <v>126</v>
      </c>
      <c r="B128" s="2" t="str">
        <f>"向思语"</f>
        <v>向思语</v>
      </c>
      <c r="C128" s="2" t="str">
        <f t="shared" si="7"/>
        <v>女</v>
      </c>
      <c r="D128" s="2" t="s">
        <v>8</v>
      </c>
      <c r="E128" s="2" t="s">
        <v>7</v>
      </c>
      <c r="F128" s="2" t="str">
        <f t="shared" si="6"/>
        <v>E2024019</v>
      </c>
      <c r="G128" s="2" t="s">
        <v>261</v>
      </c>
      <c r="H128" s="6" t="s">
        <v>56</v>
      </c>
      <c r="I128" s="6" t="s">
        <v>62</v>
      </c>
      <c r="J128" s="15"/>
      <c r="K128" s="13"/>
      <c r="L128" s="3" t="s">
        <v>831</v>
      </c>
    </row>
    <row r="129" spans="1:12" ht="21.95" customHeight="1">
      <c r="A129" s="1">
        <v>127</v>
      </c>
      <c r="B129" s="2" t="str">
        <f>"余婧"</f>
        <v>余婧</v>
      </c>
      <c r="C129" s="2" t="str">
        <f t="shared" si="7"/>
        <v>女</v>
      </c>
      <c r="D129" s="2" t="s">
        <v>8</v>
      </c>
      <c r="E129" s="2" t="s">
        <v>7</v>
      </c>
      <c r="F129" s="2" t="str">
        <f t="shared" si="6"/>
        <v>E2024019</v>
      </c>
      <c r="G129" s="2" t="s">
        <v>263</v>
      </c>
      <c r="H129" s="6" t="s">
        <v>56</v>
      </c>
      <c r="I129" s="6" t="s">
        <v>63</v>
      </c>
      <c r="J129" s="15"/>
      <c r="K129" s="13"/>
      <c r="L129" s="3" t="s">
        <v>831</v>
      </c>
    </row>
    <row r="130" spans="1:12" ht="21.95" customHeight="1">
      <c r="A130" s="1">
        <v>128</v>
      </c>
      <c r="B130" s="2" t="str">
        <f>"杨娇"</f>
        <v>杨娇</v>
      </c>
      <c r="C130" s="2" t="str">
        <f t="shared" si="7"/>
        <v>女</v>
      </c>
      <c r="D130" s="2" t="s">
        <v>8</v>
      </c>
      <c r="E130" s="2" t="s">
        <v>7</v>
      </c>
      <c r="F130" s="2" t="str">
        <f t="shared" si="6"/>
        <v>E2024019</v>
      </c>
      <c r="G130" s="2" t="s">
        <v>264</v>
      </c>
      <c r="H130" s="6" t="s">
        <v>56</v>
      </c>
      <c r="I130" s="6" t="s">
        <v>46</v>
      </c>
      <c r="J130" s="15"/>
      <c r="K130" s="13"/>
      <c r="L130" s="3" t="s">
        <v>831</v>
      </c>
    </row>
    <row r="131" spans="1:12" ht="21.95" customHeight="1">
      <c r="A131" s="1">
        <v>129</v>
      </c>
      <c r="B131" s="2" t="str">
        <f>"甘丙财"</f>
        <v>甘丙财</v>
      </c>
      <c r="C131" s="2" t="str">
        <f>"男"</f>
        <v>男</v>
      </c>
      <c r="D131" s="2" t="s">
        <v>8</v>
      </c>
      <c r="E131" s="2" t="s">
        <v>7</v>
      </c>
      <c r="F131" s="2" t="str">
        <f t="shared" ref="F131:F149" si="8">"E2024019"</f>
        <v>E2024019</v>
      </c>
      <c r="G131" s="2" t="s">
        <v>268</v>
      </c>
      <c r="H131" s="6" t="s">
        <v>56</v>
      </c>
      <c r="I131" s="6" t="s">
        <v>50</v>
      </c>
      <c r="J131" s="15"/>
      <c r="K131" s="13"/>
      <c r="L131" s="3" t="s">
        <v>831</v>
      </c>
    </row>
    <row r="132" spans="1:12" ht="21.95" customHeight="1">
      <c r="A132" s="1">
        <v>130</v>
      </c>
      <c r="B132" s="2" t="str">
        <f>"胡琼"</f>
        <v>胡琼</v>
      </c>
      <c r="C132" s="2" t="str">
        <f>"女"</f>
        <v>女</v>
      </c>
      <c r="D132" s="2" t="s">
        <v>8</v>
      </c>
      <c r="E132" s="2" t="s">
        <v>7</v>
      </c>
      <c r="F132" s="2" t="str">
        <f t="shared" si="8"/>
        <v>E2024019</v>
      </c>
      <c r="G132" s="2" t="s">
        <v>271</v>
      </c>
      <c r="H132" s="6" t="s">
        <v>80</v>
      </c>
      <c r="I132" s="6" t="s">
        <v>26</v>
      </c>
      <c r="J132" s="15"/>
      <c r="K132" s="13"/>
      <c r="L132" s="3" t="s">
        <v>831</v>
      </c>
    </row>
    <row r="133" spans="1:12" ht="21.95" customHeight="1">
      <c r="A133" s="1">
        <v>131</v>
      </c>
      <c r="B133" s="2" t="str">
        <f>"张佳玲"</f>
        <v>张佳玲</v>
      </c>
      <c r="C133" s="2" t="str">
        <f>"女"</f>
        <v>女</v>
      </c>
      <c r="D133" s="2" t="s">
        <v>8</v>
      </c>
      <c r="E133" s="2" t="s">
        <v>7</v>
      </c>
      <c r="F133" s="2" t="str">
        <f t="shared" si="8"/>
        <v>E2024019</v>
      </c>
      <c r="G133" s="2" t="s">
        <v>275</v>
      </c>
      <c r="H133" s="6" t="s">
        <v>32</v>
      </c>
      <c r="I133" s="6" t="s">
        <v>30</v>
      </c>
      <c r="J133" s="15"/>
      <c r="K133" s="13"/>
      <c r="L133" s="3" t="s">
        <v>831</v>
      </c>
    </row>
    <row r="134" spans="1:12" ht="21.95" customHeight="1">
      <c r="A134" s="1">
        <v>132</v>
      </c>
      <c r="B134" s="2" t="str">
        <f>"刘婷"</f>
        <v>刘婷</v>
      </c>
      <c r="C134" s="2" t="str">
        <f>"女"</f>
        <v>女</v>
      </c>
      <c r="D134" s="2" t="s">
        <v>8</v>
      </c>
      <c r="E134" s="2" t="s">
        <v>7</v>
      </c>
      <c r="F134" s="2" t="str">
        <f t="shared" si="8"/>
        <v>E2024019</v>
      </c>
      <c r="G134" s="2" t="s">
        <v>276</v>
      </c>
      <c r="H134" s="6" t="s">
        <v>32</v>
      </c>
      <c r="I134" s="6" t="s">
        <v>56</v>
      </c>
      <c r="J134" s="15"/>
      <c r="K134" s="13"/>
      <c r="L134" s="3" t="s">
        <v>831</v>
      </c>
    </row>
    <row r="135" spans="1:12" ht="21.95" customHeight="1">
      <c r="A135" s="1">
        <v>133</v>
      </c>
      <c r="B135" s="2" t="str">
        <f>"刘黎"</f>
        <v>刘黎</v>
      </c>
      <c r="C135" s="2" t="str">
        <f>"女"</f>
        <v>女</v>
      </c>
      <c r="D135" s="2" t="s">
        <v>8</v>
      </c>
      <c r="E135" s="2" t="s">
        <v>7</v>
      </c>
      <c r="F135" s="2" t="str">
        <f t="shared" si="8"/>
        <v>E2024019</v>
      </c>
      <c r="G135" s="2" t="s">
        <v>277</v>
      </c>
      <c r="H135" s="6" t="s">
        <v>32</v>
      </c>
      <c r="I135" s="6" t="s">
        <v>32</v>
      </c>
      <c r="J135" s="15"/>
      <c r="K135" s="13"/>
      <c r="L135" s="3" t="s">
        <v>831</v>
      </c>
    </row>
    <row r="136" spans="1:12" ht="21.95" customHeight="1">
      <c r="A136" s="1">
        <v>134</v>
      </c>
      <c r="B136" s="2" t="str">
        <f>"孟凡哲"</f>
        <v>孟凡哲</v>
      </c>
      <c r="C136" s="2" t="str">
        <f>"男"</f>
        <v>男</v>
      </c>
      <c r="D136" s="2" t="s">
        <v>8</v>
      </c>
      <c r="E136" s="2" t="s">
        <v>7</v>
      </c>
      <c r="F136" s="2" t="str">
        <f t="shared" si="8"/>
        <v>E2024019</v>
      </c>
      <c r="G136" s="2" t="s">
        <v>280</v>
      </c>
      <c r="H136" s="6" t="s">
        <v>32</v>
      </c>
      <c r="I136" s="6" t="s">
        <v>58</v>
      </c>
      <c r="J136" s="15"/>
      <c r="K136" s="13"/>
      <c r="L136" s="3" t="s">
        <v>831</v>
      </c>
    </row>
    <row r="137" spans="1:12" ht="21.95" customHeight="1">
      <c r="A137" s="1">
        <v>135</v>
      </c>
      <c r="B137" s="2" t="str">
        <f>"向林鑫"</f>
        <v>向林鑫</v>
      </c>
      <c r="C137" s="2" t="str">
        <f>"男"</f>
        <v>男</v>
      </c>
      <c r="D137" s="2" t="s">
        <v>8</v>
      </c>
      <c r="E137" s="2" t="s">
        <v>7</v>
      </c>
      <c r="F137" s="2" t="str">
        <f t="shared" si="8"/>
        <v>E2024019</v>
      </c>
      <c r="G137" s="2" t="s">
        <v>281</v>
      </c>
      <c r="H137" s="6" t="s">
        <v>32</v>
      </c>
      <c r="I137" s="6" t="s">
        <v>36</v>
      </c>
      <c r="J137" s="15"/>
      <c r="K137" s="13"/>
      <c r="L137" s="3" t="s">
        <v>831</v>
      </c>
    </row>
    <row r="138" spans="1:12" ht="21.95" customHeight="1">
      <c r="A138" s="1">
        <v>136</v>
      </c>
      <c r="B138" s="2" t="str">
        <f>"敖羽婷"</f>
        <v>敖羽婷</v>
      </c>
      <c r="C138" s="2" t="str">
        <f>"女"</f>
        <v>女</v>
      </c>
      <c r="D138" s="2" t="s">
        <v>8</v>
      </c>
      <c r="E138" s="2" t="s">
        <v>7</v>
      </c>
      <c r="F138" s="2" t="str">
        <f t="shared" si="8"/>
        <v>E2024019</v>
      </c>
      <c r="G138" s="2" t="s">
        <v>282</v>
      </c>
      <c r="H138" s="6" t="s">
        <v>32</v>
      </c>
      <c r="I138" s="6" t="s">
        <v>59</v>
      </c>
      <c r="J138" s="15"/>
      <c r="K138" s="13"/>
      <c r="L138" s="3" t="s">
        <v>831</v>
      </c>
    </row>
    <row r="139" spans="1:12" ht="21.95" customHeight="1">
      <c r="A139" s="1">
        <v>137</v>
      </c>
      <c r="B139" s="2" t="str">
        <f>"杜琼"</f>
        <v>杜琼</v>
      </c>
      <c r="C139" s="2" t="str">
        <f>"女"</f>
        <v>女</v>
      </c>
      <c r="D139" s="2" t="s">
        <v>8</v>
      </c>
      <c r="E139" s="2" t="s">
        <v>7</v>
      </c>
      <c r="F139" s="2" t="str">
        <f t="shared" si="8"/>
        <v>E2024019</v>
      </c>
      <c r="G139" s="2" t="s">
        <v>289</v>
      </c>
      <c r="H139" s="6" t="s">
        <v>32</v>
      </c>
      <c r="I139" s="6" t="s">
        <v>44</v>
      </c>
      <c r="J139" s="15"/>
      <c r="K139" s="13"/>
      <c r="L139" s="3" t="s">
        <v>831</v>
      </c>
    </row>
    <row r="140" spans="1:12" ht="21.95" customHeight="1">
      <c r="A140" s="1">
        <v>138</v>
      </c>
      <c r="B140" s="2" t="str">
        <f>"王宇翔"</f>
        <v>王宇翔</v>
      </c>
      <c r="C140" s="2" t="str">
        <f>"男"</f>
        <v>男</v>
      </c>
      <c r="D140" s="2" t="s">
        <v>8</v>
      </c>
      <c r="E140" s="2" t="s">
        <v>7</v>
      </c>
      <c r="F140" s="2" t="str">
        <f t="shared" si="8"/>
        <v>E2024019</v>
      </c>
      <c r="G140" s="2" t="s">
        <v>290</v>
      </c>
      <c r="H140" s="6" t="s">
        <v>32</v>
      </c>
      <c r="I140" s="6" t="s">
        <v>63</v>
      </c>
      <c r="J140" s="15"/>
      <c r="K140" s="13"/>
      <c r="L140" s="3" t="s">
        <v>831</v>
      </c>
    </row>
    <row r="141" spans="1:12" ht="21.95" customHeight="1">
      <c r="A141" s="1">
        <v>139</v>
      </c>
      <c r="B141" s="2" t="str">
        <f>"伍彬彬"</f>
        <v>伍彬彬</v>
      </c>
      <c r="C141" s="2" t="str">
        <f>"女"</f>
        <v>女</v>
      </c>
      <c r="D141" s="2" t="s">
        <v>8</v>
      </c>
      <c r="E141" s="2" t="s">
        <v>7</v>
      </c>
      <c r="F141" s="2" t="str">
        <f t="shared" si="8"/>
        <v>E2024019</v>
      </c>
      <c r="G141" s="2" t="s">
        <v>291</v>
      </c>
      <c r="H141" s="6" t="s">
        <v>32</v>
      </c>
      <c r="I141" s="6" t="s">
        <v>46</v>
      </c>
      <c r="J141" s="15"/>
      <c r="K141" s="13"/>
      <c r="L141" s="3" t="s">
        <v>831</v>
      </c>
    </row>
    <row r="142" spans="1:12" ht="21.95" customHeight="1">
      <c r="A142" s="1">
        <v>140</v>
      </c>
      <c r="B142" s="2" t="str">
        <f>"牟薇霖"</f>
        <v>牟薇霖</v>
      </c>
      <c r="C142" s="2" t="str">
        <f>"女"</f>
        <v>女</v>
      </c>
      <c r="D142" s="2" t="s">
        <v>8</v>
      </c>
      <c r="E142" s="2" t="s">
        <v>7</v>
      </c>
      <c r="F142" s="2" t="str">
        <f t="shared" si="8"/>
        <v>E2024019</v>
      </c>
      <c r="G142" s="2" t="s">
        <v>292</v>
      </c>
      <c r="H142" s="6" t="s">
        <v>32</v>
      </c>
      <c r="I142" s="6" t="s">
        <v>64</v>
      </c>
      <c r="J142" s="15"/>
      <c r="K142" s="13"/>
      <c r="L142" s="3" t="s">
        <v>831</v>
      </c>
    </row>
    <row r="143" spans="1:12" ht="21.95" customHeight="1">
      <c r="A143" s="1">
        <v>141</v>
      </c>
      <c r="B143" s="2" t="str">
        <f>"傅丹妮"</f>
        <v>傅丹妮</v>
      </c>
      <c r="C143" s="2" t="str">
        <f>"女"</f>
        <v>女</v>
      </c>
      <c r="D143" s="2" t="s">
        <v>8</v>
      </c>
      <c r="E143" s="2" t="s">
        <v>7</v>
      </c>
      <c r="F143" s="2" t="str">
        <f t="shared" si="8"/>
        <v>E2024019</v>
      </c>
      <c r="G143" s="2" t="s">
        <v>293</v>
      </c>
      <c r="H143" s="6" t="s">
        <v>32</v>
      </c>
      <c r="I143" s="6" t="s">
        <v>48</v>
      </c>
      <c r="J143" s="15"/>
      <c r="K143" s="13"/>
      <c r="L143" s="3" t="s">
        <v>831</v>
      </c>
    </row>
    <row r="144" spans="1:12" ht="21.95" customHeight="1">
      <c r="A144" s="1">
        <v>142</v>
      </c>
      <c r="B144" s="2" t="str">
        <f>"冉毅"</f>
        <v>冉毅</v>
      </c>
      <c r="C144" s="2" t="str">
        <f>"男"</f>
        <v>男</v>
      </c>
      <c r="D144" s="2" t="s">
        <v>8</v>
      </c>
      <c r="E144" s="2" t="s">
        <v>7</v>
      </c>
      <c r="F144" s="2" t="str">
        <f t="shared" si="8"/>
        <v>E2024019</v>
      </c>
      <c r="G144" s="2" t="s">
        <v>294</v>
      </c>
      <c r="H144" s="6" t="s">
        <v>32</v>
      </c>
      <c r="I144" s="6" t="s">
        <v>65</v>
      </c>
      <c r="J144" s="15"/>
      <c r="K144" s="13"/>
      <c r="L144" s="3" t="s">
        <v>831</v>
      </c>
    </row>
    <row r="145" spans="1:12" ht="21.95" customHeight="1">
      <c r="A145" s="1">
        <v>143</v>
      </c>
      <c r="B145" s="2" t="str">
        <f>"鲁丽媛"</f>
        <v>鲁丽媛</v>
      </c>
      <c r="C145" s="2" t="str">
        <f>"女"</f>
        <v>女</v>
      </c>
      <c r="D145" s="2" t="s">
        <v>8</v>
      </c>
      <c r="E145" s="2" t="s">
        <v>7</v>
      </c>
      <c r="F145" s="2" t="str">
        <f t="shared" si="8"/>
        <v>E2024019</v>
      </c>
      <c r="G145" s="2" t="s">
        <v>296</v>
      </c>
      <c r="H145" s="6" t="s">
        <v>32</v>
      </c>
      <c r="I145" s="6" t="s">
        <v>66</v>
      </c>
      <c r="J145" s="15"/>
      <c r="K145" s="13"/>
      <c r="L145" s="3" t="s">
        <v>831</v>
      </c>
    </row>
    <row r="146" spans="1:12" ht="21.95" customHeight="1">
      <c r="A146" s="1">
        <v>144</v>
      </c>
      <c r="B146" s="2" t="str">
        <f>"姜雪娇"</f>
        <v>姜雪娇</v>
      </c>
      <c r="C146" s="2" t="str">
        <f>"女"</f>
        <v>女</v>
      </c>
      <c r="D146" s="2" t="s">
        <v>8</v>
      </c>
      <c r="E146" s="2" t="s">
        <v>7</v>
      </c>
      <c r="F146" s="2" t="str">
        <f t="shared" si="8"/>
        <v>E2024019</v>
      </c>
      <c r="G146" s="2" t="s">
        <v>297</v>
      </c>
      <c r="H146" s="6" t="s">
        <v>32</v>
      </c>
      <c r="I146" s="6" t="s">
        <v>52</v>
      </c>
      <c r="J146" s="15"/>
      <c r="K146" s="13"/>
      <c r="L146" s="3" t="s">
        <v>831</v>
      </c>
    </row>
    <row r="147" spans="1:12" ht="21.95" customHeight="1">
      <c r="A147" s="1">
        <v>145</v>
      </c>
      <c r="B147" s="2" t="str">
        <f>"汪锐"</f>
        <v>汪锐</v>
      </c>
      <c r="C147" s="2" t="str">
        <f>"女"</f>
        <v>女</v>
      </c>
      <c r="D147" s="2" t="s">
        <v>8</v>
      </c>
      <c r="E147" s="2" t="s">
        <v>7</v>
      </c>
      <c r="F147" s="2" t="str">
        <f t="shared" si="8"/>
        <v>E2024019</v>
      </c>
      <c r="G147" s="2" t="s">
        <v>298</v>
      </c>
      <c r="H147" s="6" t="s">
        <v>32</v>
      </c>
      <c r="I147" s="6" t="s">
        <v>67</v>
      </c>
      <c r="J147" s="15"/>
      <c r="K147" s="13"/>
      <c r="L147" s="3" t="s">
        <v>831</v>
      </c>
    </row>
    <row r="148" spans="1:12" ht="21.95" customHeight="1">
      <c r="A148" s="1">
        <v>146</v>
      </c>
      <c r="B148" s="2" t="str">
        <f>"杨妮"</f>
        <v>杨妮</v>
      </c>
      <c r="C148" s="2" t="str">
        <f>"女"</f>
        <v>女</v>
      </c>
      <c r="D148" s="2" t="s">
        <v>8</v>
      </c>
      <c r="E148" s="2" t="s">
        <v>7</v>
      </c>
      <c r="F148" s="2" t="str">
        <f t="shared" si="8"/>
        <v>E2024019</v>
      </c>
      <c r="G148" s="2" t="s">
        <v>299</v>
      </c>
      <c r="H148" s="6" t="s">
        <v>32</v>
      </c>
      <c r="I148" s="6" t="s">
        <v>71</v>
      </c>
      <c r="J148" s="15"/>
      <c r="K148" s="13"/>
      <c r="L148" s="3" t="s">
        <v>831</v>
      </c>
    </row>
    <row r="149" spans="1:12" ht="21.95" customHeight="1">
      <c r="A149" s="1">
        <v>147</v>
      </c>
      <c r="B149" s="2" t="str">
        <f>"欧阳克娇"</f>
        <v>欧阳克娇</v>
      </c>
      <c r="C149" s="2" t="str">
        <f>"女"</f>
        <v>女</v>
      </c>
      <c r="D149" s="2" t="s">
        <v>8</v>
      </c>
      <c r="E149" s="2" t="s">
        <v>7</v>
      </c>
      <c r="F149" s="2" t="str">
        <f t="shared" si="8"/>
        <v>E2024019</v>
      </c>
      <c r="G149" s="2" t="s">
        <v>300</v>
      </c>
      <c r="H149" s="6" t="s">
        <v>32</v>
      </c>
      <c r="I149" s="6" t="s">
        <v>72</v>
      </c>
      <c r="J149" s="15"/>
      <c r="K149" s="13"/>
      <c r="L149" s="3" t="s">
        <v>831</v>
      </c>
    </row>
    <row r="150" spans="1:12" ht="21.95" customHeight="1">
      <c r="A150" s="1">
        <v>148</v>
      </c>
      <c r="B150" s="2" t="str">
        <f>"张晨曦"</f>
        <v>张晨曦</v>
      </c>
      <c r="C150" s="2" t="str">
        <f>"男"</f>
        <v>男</v>
      </c>
      <c r="D150" s="2" t="s">
        <v>10</v>
      </c>
      <c r="E150" s="2" t="s">
        <v>9</v>
      </c>
      <c r="F150" s="2" t="str">
        <f t="shared" ref="F150:F213" si="9">"E2024020"</f>
        <v>E2024020</v>
      </c>
      <c r="G150" s="2" t="s">
        <v>458</v>
      </c>
      <c r="H150" s="6" t="s">
        <v>38</v>
      </c>
      <c r="I150" s="6" t="s">
        <v>57</v>
      </c>
      <c r="J150" s="15">
        <v>86.48</v>
      </c>
      <c r="K150" s="13">
        <v>1</v>
      </c>
      <c r="L150" s="1"/>
    </row>
    <row r="151" spans="1:12" ht="21.95" customHeight="1">
      <c r="A151" s="1">
        <v>149</v>
      </c>
      <c r="B151" s="2" t="str">
        <f>"杨宬浠"</f>
        <v>杨宬浠</v>
      </c>
      <c r="C151" s="2" t="str">
        <f>"男"</f>
        <v>男</v>
      </c>
      <c r="D151" s="2" t="s">
        <v>10</v>
      </c>
      <c r="E151" s="2" t="s">
        <v>9</v>
      </c>
      <c r="F151" s="2" t="str">
        <f t="shared" si="9"/>
        <v>E2024020</v>
      </c>
      <c r="G151" s="2" t="s">
        <v>373</v>
      </c>
      <c r="H151" s="6" t="s">
        <v>35</v>
      </c>
      <c r="I151" s="6" t="s">
        <v>38</v>
      </c>
      <c r="J151" s="15">
        <v>84.61</v>
      </c>
      <c r="K151" s="13">
        <v>2</v>
      </c>
      <c r="L151" s="1"/>
    </row>
    <row r="152" spans="1:12" ht="21.95" customHeight="1">
      <c r="A152" s="1">
        <v>150</v>
      </c>
      <c r="B152" s="2" t="str">
        <f>"向东 "</f>
        <v xml:space="preserve">向东 </v>
      </c>
      <c r="C152" s="2" t="str">
        <f>"女"</f>
        <v>女</v>
      </c>
      <c r="D152" s="2" t="s">
        <v>10</v>
      </c>
      <c r="E152" s="2" t="s">
        <v>9</v>
      </c>
      <c r="F152" s="2" t="str">
        <f t="shared" si="9"/>
        <v>E2024020</v>
      </c>
      <c r="G152" s="2" t="s">
        <v>416</v>
      </c>
      <c r="H152" s="6" t="s">
        <v>36</v>
      </c>
      <c r="I152" s="6" t="s">
        <v>66</v>
      </c>
      <c r="J152" s="15">
        <v>83.26</v>
      </c>
      <c r="K152" s="13">
        <v>3</v>
      </c>
      <c r="L152" s="1"/>
    </row>
    <row r="153" spans="1:12" ht="21.95" customHeight="1">
      <c r="A153" s="1">
        <v>151</v>
      </c>
      <c r="B153" s="2" t="str">
        <f>"谭运杰"</f>
        <v>谭运杰</v>
      </c>
      <c r="C153" s="2" t="str">
        <f t="shared" ref="C153:C159" si="10">"男"</f>
        <v>男</v>
      </c>
      <c r="D153" s="2" t="s">
        <v>10</v>
      </c>
      <c r="E153" s="2" t="s">
        <v>9</v>
      </c>
      <c r="F153" s="2" t="str">
        <f t="shared" si="9"/>
        <v>E2024020</v>
      </c>
      <c r="G153" s="2" t="s">
        <v>494</v>
      </c>
      <c r="H153" s="6" t="s">
        <v>60</v>
      </c>
      <c r="I153" s="6" t="s">
        <v>60</v>
      </c>
      <c r="J153" s="15">
        <v>81.91</v>
      </c>
      <c r="K153" s="13">
        <v>4</v>
      </c>
      <c r="L153" s="1"/>
    </row>
    <row r="154" spans="1:12" ht="21.95" customHeight="1">
      <c r="A154" s="1">
        <v>152</v>
      </c>
      <c r="B154" s="2" t="str">
        <f>"杨帆"</f>
        <v>杨帆</v>
      </c>
      <c r="C154" s="2" t="str">
        <f t="shared" si="10"/>
        <v>男</v>
      </c>
      <c r="D154" s="2" t="s">
        <v>10</v>
      </c>
      <c r="E154" s="2" t="s">
        <v>9</v>
      </c>
      <c r="F154" s="2" t="str">
        <f t="shared" si="9"/>
        <v>E2024020</v>
      </c>
      <c r="G154" s="2" t="s">
        <v>361</v>
      </c>
      <c r="H154" s="6" t="s">
        <v>83</v>
      </c>
      <c r="I154" s="6" t="s">
        <v>77</v>
      </c>
      <c r="J154" s="15">
        <v>80.55</v>
      </c>
      <c r="K154" s="13">
        <v>5</v>
      </c>
      <c r="L154" s="1"/>
    </row>
    <row r="155" spans="1:12" ht="21.95" customHeight="1">
      <c r="A155" s="1">
        <v>153</v>
      </c>
      <c r="B155" s="2" t="str">
        <f>"李昱"</f>
        <v>李昱</v>
      </c>
      <c r="C155" s="2" t="str">
        <f t="shared" si="10"/>
        <v>男</v>
      </c>
      <c r="D155" s="2" t="s">
        <v>10</v>
      </c>
      <c r="E155" s="2" t="s">
        <v>9</v>
      </c>
      <c r="F155" s="2" t="str">
        <f t="shared" si="9"/>
        <v>E2024020</v>
      </c>
      <c r="G155" s="2" t="s">
        <v>344</v>
      </c>
      <c r="H155" s="6" t="s">
        <v>34</v>
      </c>
      <c r="I155" s="6" t="s">
        <v>60</v>
      </c>
      <c r="J155" s="15">
        <v>79.790000000000006</v>
      </c>
      <c r="K155" s="13">
        <v>6</v>
      </c>
      <c r="L155" s="1"/>
    </row>
    <row r="156" spans="1:12" ht="21.95" customHeight="1">
      <c r="A156" s="1">
        <v>154</v>
      </c>
      <c r="B156" s="2" t="str">
        <f>"李静"</f>
        <v>李静</v>
      </c>
      <c r="C156" s="2" t="str">
        <f t="shared" si="10"/>
        <v>男</v>
      </c>
      <c r="D156" s="2" t="s">
        <v>10</v>
      </c>
      <c r="E156" s="2" t="s">
        <v>9</v>
      </c>
      <c r="F156" s="2" t="str">
        <f t="shared" si="9"/>
        <v>E2024020</v>
      </c>
      <c r="G156" s="2" t="s">
        <v>497</v>
      </c>
      <c r="H156" s="6" t="s">
        <v>60</v>
      </c>
      <c r="I156" s="6" t="s">
        <v>42</v>
      </c>
      <c r="J156" s="15">
        <v>79.59</v>
      </c>
      <c r="K156" s="13">
        <v>7</v>
      </c>
      <c r="L156" s="1"/>
    </row>
    <row r="157" spans="1:12" ht="21.95" customHeight="1">
      <c r="A157" s="1">
        <v>155</v>
      </c>
      <c r="B157" s="2" t="str">
        <f>"田钊和"</f>
        <v>田钊和</v>
      </c>
      <c r="C157" s="2" t="str">
        <f t="shared" si="10"/>
        <v>男</v>
      </c>
      <c r="D157" s="2" t="s">
        <v>10</v>
      </c>
      <c r="E157" s="2" t="s">
        <v>9</v>
      </c>
      <c r="F157" s="2" t="str">
        <f t="shared" si="9"/>
        <v>E2024020</v>
      </c>
      <c r="G157" s="2" t="s">
        <v>386</v>
      </c>
      <c r="H157" s="6" t="s">
        <v>58</v>
      </c>
      <c r="I157" s="6" t="s">
        <v>66</v>
      </c>
      <c r="J157" s="15">
        <v>79.47</v>
      </c>
      <c r="K157" s="13">
        <v>8</v>
      </c>
      <c r="L157" s="1"/>
    </row>
    <row r="158" spans="1:12" ht="21.95" customHeight="1">
      <c r="A158" s="1">
        <v>156</v>
      </c>
      <c r="B158" s="2" t="str">
        <f>"刘耀飞"</f>
        <v>刘耀飞</v>
      </c>
      <c r="C158" s="2" t="str">
        <f t="shared" si="10"/>
        <v>男</v>
      </c>
      <c r="D158" s="2" t="s">
        <v>10</v>
      </c>
      <c r="E158" s="2" t="s">
        <v>9</v>
      </c>
      <c r="F158" s="2" t="str">
        <f t="shared" si="9"/>
        <v>E2024020</v>
      </c>
      <c r="G158" s="2" t="s">
        <v>397</v>
      </c>
      <c r="H158" s="6" t="s">
        <v>36</v>
      </c>
      <c r="I158" s="6" t="s">
        <v>32</v>
      </c>
      <c r="J158" s="15">
        <v>79.39</v>
      </c>
      <c r="K158" s="13">
        <v>9</v>
      </c>
      <c r="L158" s="1"/>
    </row>
    <row r="159" spans="1:12" ht="21.95" customHeight="1">
      <c r="A159" s="1">
        <v>157</v>
      </c>
      <c r="B159" s="2" t="str">
        <f>"邓贵鑫"</f>
        <v>邓贵鑫</v>
      </c>
      <c r="C159" s="2" t="str">
        <f t="shared" si="10"/>
        <v>男</v>
      </c>
      <c r="D159" s="2" t="s">
        <v>10</v>
      </c>
      <c r="E159" s="2" t="s">
        <v>9</v>
      </c>
      <c r="F159" s="2" t="str">
        <f t="shared" si="9"/>
        <v>E2024020</v>
      </c>
      <c r="G159" s="2" t="s">
        <v>420</v>
      </c>
      <c r="H159" s="6" t="s">
        <v>36</v>
      </c>
      <c r="I159" s="6" t="s">
        <v>72</v>
      </c>
      <c r="J159" s="15">
        <v>79.319999999999993</v>
      </c>
      <c r="K159" s="13">
        <v>10</v>
      </c>
      <c r="L159" s="1"/>
    </row>
    <row r="160" spans="1:12" ht="21.95" customHeight="1">
      <c r="A160" s="1">
        <v>158</v>
      </c>
      <c r="B160" s="2" t="str">
        <f>"陈奕帆"</f>
        <v>陈奕帆</v>
      </c>
      <c r="C160" s="2" t="str">
        <f>"女"</f>
        <v>女</v>
      </c>
      <c r="D160" s="2" t="s">
        <v>10</v>
      </c>
      <c r="E160" s="2" t="s">
        <v>9</v>
      </c>
      <c r="F160" s="2" t="str">
        <f t="shared" si="9"/>
        <v>E2024020</v>
      </c>
      <c r="G160" s="2" t="s">
        <v>492</v>
      </c>
      <c r="H160" s="6" t="s">
        <v>60</v>
      </c>
      <c r="I160" s="6" t="s">
        <v>59</v>
      </c>
      <c r="J160" s="15">
        <v>79.14</v>
      </c>
      <c r="K160" s="13">
        <v>11</v>
      </c>
      <c r="L160" s="1"/>
    </row>
    <row r="161" spans="1:12" ht="21.95" customHeight="1">
      <c r="A161" s="1">
        <v>159</v>
      </c>
      <c r="B161" s="2" t="str">
        <f>"潘学陇"</f>
        <v>潘学陇</v>
      </c>
      <c r="C161" s="2" t="str">
        <f>"男"</f>
        <v>男</v>
      </c>
      <c r="D161" s="2" t="s">
        <v>10</v>
      </c>
      <c r="E161" s="2" t="s">
        <v>9</v>
      </c>
      <c r="F161" s="2" t="str">
        <f t="shared" si="9"/>
        <v>E2024020</v>
      </c>
      <c r="G161" s="2" t="s">
        <v>442</v>
      </c>
      <c r="H161" s="6" t="s">
        <v>59</v>
      </c>
      <c r="I161" s="6" t="s">
        <v>64</v>
      </c>
      <c r="J161" s="15">
        <v>78.819999999999993</v>
      </c>
      <c r="K161" s="13">
        <v>12</v>
      </c>
      <c r="L161" s="1"/>
    </row>
    <row r="162" spans="1:12" ht="21.95" customHeight="1">
      <c r="A162" s="1">
        <v>160</v>
      </c>
      <c r="B162" s="2" t="str">
        <f>"许若璇"</f>
        <v>许若璇</v>
      </c>
      <c r="C162" s="2" t="str">
        <f>"女"</f>
        <v>女</v>
      </c>
      <c r="D162" s="2" t="s">
        <v>10</v>
      </c>
      <c r="E162" s="2" t="s">
        <v>9</v>
      </c>
      <c r="F162" s="2" t="str">
        <f t="shared" si="9"/>
        <v>E2024020</v>
      </c>
      <c r="G162" s="2" t="s">
        <v>425</v>
      </c>
      <c r="H162" s="6" t="s">
        <v>59</v>
      </c>
      <c r="I162" s="6" t="s">
        <v>30</v>
      </c>
      <c r="J162" s="15">
        <v>78.55</v>
      </c>
      <c r="K162" s="13">
        <v>13</v>
      </c>
      <c r="L162" s="1"/>
    </row>
    <row r="163" spans="1:12" ht="21.95" customHeight="1">
      <c r="A163" s="1">
        <v>161</v>
      </c>
      <c r="B163" s="2" t="str">
        <f>"吴迪"</f>
        <v>吴迪</v>
      </c>
      <c r="C163" s="2" t="str">
        <f>"女"</f>
        <v>女</v>
      </c>
      <c r="D163" s="2" t="s">
        <v>10</v>
      </c>
      <c r="E163" s="2" t="s">
        <v>9</v>
      </c>
      <c r="F163" s="2" t="str">
        <f t="shared" si="9"/>
        <v>E2024020</v>
      </c>
      <c r="G163" s="2" t="s">
        <v>306</v>
      </c>
      <c r="H163" s="6" t="s">
        <v>57</v>
      </c>
      <c r="I163" s="6" t="s">
        <v>56</v>
      </c>
      <c r="J163" s="15">
        <v>78.02</v>
      </c>
      <c r="K163" s="13">
        <v>14</v>
      </c>
      <c r="L163" s="1"/>
    </row>
    <row r="164" spans="1:12" ht="21.95" customHeight="1">
      <c r="A164" s="1">
        <v>162</v>
      </c>
      <c r="B164" s="2" t="str">
        <f>"周鑫"</f>
        <v>周鑫</v>
      </c>
      <c r="C164" s="2" t="str">
        <f>"男"</f>
        <v>男</v>
      </c>
      <c r="D164" s="2" t="s">
        <v>10</v>
      </c>
      <c r="E164" s="2" t="s">
        <v>9</v>
      </c>
      <c r="F164" s="2" t="str">
        <f t="shared" si="9"/>
        <v>E2024020</v>
      </c>
      <c r="G164" s="2" t="s">
        <v>481</v>
      </c>
      <c r="H164" s="6" t="s">
        <v>88</v>
      </c>
      <c r="I164" s="6" t="s">
        <v>77</v>
      </c>
      <c r="J164" s="15">
        <v>77.900000000000006</v>
      </c>
      <c r="K164" s="13">
        <v>15</v>
      </c>
      <c r="L164" s="1"/>
    </row>
    <row r="165" spans="1:12" ht="21.95" customHeight="1">
      <c r="A165" s="1">
        <v>163</v>
      </c>
      <c r="B165" s="2" t="str">
        <f>"谭江涛"</f>
        <v>谭江涛</v>
      </c>
      <c r="C165" s="2" t="str">
        <f>"男"</f>
        <v>男</v>
      </c>
      <c r="D165" s="2" t="s">
        <v>10</v>
      </c>
      <c r="E165" s="2" t="s">
        <v>9</v>
      </c>
      <c r="F165" s="2" t="str">
        <f t="shared" si="9"/>
        <v>E2024020</v>
      </c>
      <c r="G165" s="2" t="s">
        <v>335</v>
      </c>
      <c r="H165" s="6" t="s">
        <v>34</v>
      </c>
      <c r="I165" s="6" t="s">
        <v>30</v>
      </c>
      <c r="J165" s="15">
        <v>77.78</v>
      </c>
      <c r="K165" s="13">
        <v>16</v>
      </c>
      <c r="L165" s="1"/>
    </row>
    <row r="166" spans="1:12" ht="21.95" customHeight="1">
      <c r="A166" s="1">
        <v>164</v>
      </c>
      <c r="B166" s="2" t="str">
        <f>"向姣姣"</f>
        <v>向姣姣</v>
      </c>
      <c r="C166" s="2" t="str">
        <f>"女"</f>
        <v>女</v>
      </c>
      <c r="D166" s="2" t="s">
        <v>10</v>
      </c>
      <c r="E166" s="2" t="s">
        <v>9</v>
      </c>
      <c r="F166" s="2" t="str">
        <f t="shared" si="9"/>
        <v>E2024020</v>
      </c>
      <c r="G166" s="2" t="s">
        <v>493</v>
      </c>
      <c r="H166" s="6" t="s">
        <v>60</v>
      </c>
      <c r="I166" s="6" t="s">
        <v>38</v>
      </c>
      <c r="J166" s="15">
        <v>77.680000000000007</v>
      </c>
      <c r="K166" s="13">
        <v>17</v>
      </c>
      <c r="L166" s="1"/>
    </row>
    <row r="167" spans="1:12" ht="21.95" customHeight="1">
      <c r="A167" s="1">
        <v>165</v>
      </c>
      <c r="B167" s="2" t="str">
        <f>"肖璐"</f>
        <v>肖璐</v>
      </c>
      <c r="C167" s="2" t="str">
        <f>"男"</f>
        <v>男</v>
      </c>
      <c r="D167" s="2" t="s">
        <v>10</v>
      </c>
      <c r="E167" s="2" t="s">
        <v>9</v>
      </c>
      <c r="F167" s="2" t="str">
        <f t="shared" si="9"/>
        <v>E2024020</v>
      </c>
      <c r="G167" s="2" t="s">
        <v>422</v>
      </c>
      <c r="H167" s="6" t="s">
        <v>86</v>
      </c>
      <c r="I167" s="6" t="s">
        <v>54</v>
      </c>
      <c r="J167" s="15">
        <v>77.66</v>
      </c>
      <c r="K167" s="13">
        <v>18</v>
      </c>
      <c r="L167" s="1"/>
    </row>
    <row r="168" spans="1:12" ht="21.95" customHeight="1">
      <c r="A168" s="1">
        <v>166</v>
      </c>
      <c r="B168" s="2" t="str">
        <f>"彭旭升"</f>
        <v>彭旭升</v>
      </c>
      <c r="C168" s="2" t="str">
        <f>"男"</f>
        <v>男</v>
      </c>
      <c r="D168" s="2" t="s">
        <v>10</v>
      </c>
      <c r="E168" s="2" t="s">
        <v>9</v>
      </c>
      <c r="F168" s="2" t="str">
        <f t="shared" si="9"/>
        <v>E2024020</v>
      </c>
      <c r="G168" s="2" t="s">
        <v>510</v>
      </c>
      <c r="H168" s="6" t="s">
        <v>60</v>
      </c>
      <c r="I168" s="6" t="s">
        <v>72</v>
      </c>
      <c r="J168" s="15">
        <v>77.53</v>
      </c>
      <c r="K168" s="13">
        <v>19</v>
      </c>
      <c r="L168" s="1"/>
    </row>
    <row r="169" spans="1:12" ht="21.95" customHeight="1">
      <c r="A169" s="1">
        <v>167</v>
      </c>
      <c r="B169" s="2" t="str">
        <f>"覃佐庆"</f>
        <v>覃佐庆</v>
      </c>
      <c r="C169" s="2" t="str">
        <f>"男"</f>
        <v>男</v>
      </c>
      <c r="D169" s="2" t="s">
        <v>10</v>
      </c>
      <c r="E169" s="2" t="s">
        <v>9</v>
      </c>
      <c r="F169" s="2" t="str">
        <f t="shared" si="9"/>
        <v>E2024020</v>
      </c>
      <c r="G169" s="2" t="s">
        <v>347</v>
      </c>
      <c r="H169" s="6" t="s">
        <v>34</v>
      </c>
      <c r="I169" s="6" t="s">
        <v>42</v>
      </c>
      <c r="J169" s="15">
        <v>77.34</v>
      </c>
      <c r="K169" s="13">
        <v>20</v>
      </c>
      <c r="L169" s="1"/>
    </row>
    <row r="170" spans="1:12" ht="21.95" customHeight="1">
      <c r="A170" s="1">
        <v>168</v>
      </c>
      <c r="B170" s="2" t="str">
        <f>"涂奥琼"</f>
        <v>涂奥琼</v>
      </c>
      <c r="C170" s="2" t="str">
        <f>"女"</f>
        <v>女</v>
      </c>
      <c r="D170" s="2" t="s">
        <v>10</v>
      </c>
      <c r="E170" s="2" t="s">
        <v>9</v>
      </c>
      <c r="F170" s="2" t="str">
        <f t="shared" si="9"/>
        <v>E2024020</v>
      </c>
      <c r="G170" s="2" t="s">
        <v>475</v>
      </c>
      <c r="H170" s="6" t="s">
        <v>38</v>
      </c>
      <c r="I170" s="6" t="s">
        <v>50</v>
      </c>
      <c r="J170" s="15">
        <v>76.66</v>
      </c>
      <c r="K170" s="13">
        <v>21</v>
      </c>
      <c r="L170" s="1"/>
    </row>
    <row r="171" spans="1:12" ht="21.95" customHeight="1">
      <c r="A171" s="1">
        <v>169</v>
      </c>
      <c r="B171" s="2" t="str">
        <f>"谢立早"</f>
        <v>谢立早</v>
      </c>
      <c r="C171" s="2" t="str">
        <f>"男"</f>
        <v>男</v>
      </c>
      <c r="D171" s="2" t="s">
        <v>10</v>
      </c>
      <c r="E171" s="2" t="s">
        <v>9</v>
      </c>
      <c r="F171" s="2" t="str">
        <f t="shared" si="9"/>
        <v>E2024020</v>
      </c>
      <c r="G171" s="2" t="s">
        <v>407</v>
      </c>
      <c r="H171" s="6" t="s">
        <v>36</v>
      </c>
      <c r="I171" s="6" t="s">
        <v>42</v>
      </c>
      <c r="J171" s="15">
        <v>76.61</v>
      </c>
      <c r="K171" s="13">
        <v>22</v>
      </c>
      <c r="L171" s="1"/>
    </row>
    <row r="172" spans="1:12" ht="21.95" customHeight="1">
      <c r="A172" s="1">
        <v>170</v>
      </c>
      <c r="B172" s="2" t="str">
        <f>"袁淼"</f>
        <v>袁淼</v>
      </c>
      <c r="C172" s="2" t="str">
        <f>"男"</f>
        <v>男</v>
      </c>
      <c r="D172" s="2" t="s">
        <v>10</v>
      </c>
      <c r="E172" s="2" t="s">
        <v>9</v>
      </c>
      <c r="F172" s="2" t="str">
        <f t="shared" si="9"/>
        <v>E2024020</v>
      </c>
      <c r="G172" s="2" t="s">
        <v>455</v>
      </c>
      <c r="H172" s="6" t="s">
        <v>38</v>
      </c>
      <c r="I172" s="6" t="s">
        <v>30</v>
      </c>
      <c r="J172" s="15">
        <v>76.47</v>
      </c>
      <c r="K172" s="13">
        <v>23</v>
      </c>
      <c r="L172" s="1"/>
    </row>
    <row r="173" spans="1:12" ht="21.95" customHeight="1">
      <c r="A173" s="1">
        <v>171</v>
      </c>
      <c r="B173" s="2" t="str">
        <f>"陈慧"</f>
        <v>陈慧</v>
      </c>
      <c r="C173" s="2" t="str">
        <f>"女"</f>
        <v>女</v>
      </c>
      <c r="D173" s="2" t="s">
        <v>10</v>
      </c>
      <c r="E173" s="2" t="s">
        <v>9</v>
      </c>
      <c r="F173" s="2" t="str">
        <f t="shared" si="9"/>
        <v>E2024020</v>
      </c>
      <c r="G173" s="2" t="s">
        <v>408</v>
      </c>
      <c r="H173" s="6" t="s">
        <v>36</v>
      </c>
      <c r="I173" s="6" t="s">
        <v>62</v>
      </c>
      <c r="J173" s="15">
        <v>75.55</v>
      </c>
      <c r="K173" s="13">
        <v>24</v>
      </c>
      <c r="L173" s="1"/>
    </row>
    <row r="174" spans="1:12" ht="21.95" customHeight="1">
      <c r="A174" s="1">
        <v>172</v>
      </c>
      <c r="B174" s="2" t="str">
        <f>"朱婷婷"</f>
        <v>朱婷婷</v>
      </c>
      <c r="C174" s="2" t="str">
        <f>"女"</f>
        <v>女</v>
      </c>
      <c r="D174" s="2" t="s">
        <v>10</v>
      </c>
      <c r="E174" s="2" t="s">
        <v>9</v>
      </c>
      <c r="F174" s="2" t="str">
        <f t="shared" si="9"/>
        <v>E2024020</v>
      </c>
      <c r="G174" s="2" t="s">
        <v>379</v>
      </c>
      <c r="H174" s="6" t="s">
        <v>35</v>
      </c>
      <c r="I174" s="6" t="s">
        <v>44</v>
      </c>
      <c r="J174" s="15">
        <v>74.91</v>
      </c>
      <c r="K174" s="13">
        <v>25</v>
      </c>
      <c r="L174" s="1"/>
    </row>
    <row r="175" spans="1:12" ht="21.95" customHeight="1">
      <c r="A175" s="1">
        <v>173</v>
      </c>
      <c r="B175" s="2" t="str">
        <f>"张莉"</f>
        <v>张莉</v>
      </c>
      <c r="C175" s="2" t="str">
        <f>"女"</f>
        <v>女</v>
      </c>
      <c r="D175" s="2" t="s">
        <v>10</v>
      </c>
      <c r="E175" s="2" t="s">
        <v>9</v>
      </c>
      <c r="F175" s="2" t="str">
        <f t="shared" si="9"/>
        <v>E2024020</v>
      </c>
      <c r="G175" s="2" t="s">
        <v>394</v>
      </c>
      <c r="H175" s="6" t="s">
        <v>36</v>
      </c>
      <c r="I175" s="6" t="s">
        <v>55</v>
      </c>
      <c r="J175" s="15">
        <v>74.81</v>
      </c>
      <c r="K175" s="13">
        <v>26</v>
      </c>
      <c r="L175" s="1"/>
    </row>
    <row r="176" spans="1:12" ht="21.95" customHeight="1">
      <c r="A176" s="1">
        <v>174</v>
      </c>
      <c r="B176" s="2" t="str">
        <f>"冯忠伟"</f>
        <v>冯忠伟</v>
      </c>
      <c r="C176" s="2" t="str">
        <f>"男"</f>
        <v>男</v>
      </c>
      <c r="D176" s="2" t="s">
        <v>10</v>
      </c>
      <c r="E176" s="2" t="s">
        <v>9</v>
      </c>
      <c r="F176" s="2" t="str">
        <f t="shared" si="9"/>
        <v>E2024020</v>
      </c>
      <c r="G176" s="2" t="s">
        <v>403</v>
      </c>
      <c r="H176" s="6" t="s">
        <v>36</v>
      </c>
      <c r="I176" s="6" t="s">
        <v>38</v>
      </c>
      <c r="J176" s="15">
        <v>74.39</v>
      </c>
      <c r="K176" s="13">
        <v>27</v>
      </c>
      <c r="L176" s="1"/>
    </row>
    <row r="177" spans="1:12" ht="21.95" customHeight="1">
      <c r="A177" s="1">
        <v>175</v>
      </c>
      <c r="B177" s="2" t="str">
        <f>"陈威"</f>
        <v>陈威</v>
      </c>
      <c r="C177" s="2" t="str">
        <f>"男"</f>
        <v>男</v>
      </c>
      <c r="D177" s="2" t="s">
        <v>10</v>
      </c>
      <c r="E177" s="2" t="s">
        <v>9</v>
      </c>
      <c r="F177" s="2" t="str">
        <f t="shared" si="9"/>
        <v>E2024020</v>
      </c>
      <c r="G177" s="2" t="s">
        <v>390</v>
      </c>
      <c r="H177" s="6" t="s">
        <v>58</v>
      </c>
      <c r="I177" s="6" t="s">
        <v>72</v>
      </c>
      <c r="J177" s="15">
        <v>74.17</v>
      </c>
      <c r="K177" s="13">
        <v>28</v>
      </c>
      <c r="L177" s="1"/>
    </row>
    <row r="178" spans="1:12" ht="21.95" customHeight="1">
      <c r="A178" s="1">
        <v>176</v>
      </c>
      <c r="B178" s="2" t="str">
        <f>"田凯"</f>
        <v>田凯</v>
      </c>
      <c r="C178" s="2" t="str">
        <f>"男"</f>
        <v>男</v>
      </c>
      <c r="D178" s="2" t="s">
        <v>10</v>
      </c>
      <c r="E178" s="2" t="s">
        <v>9</v>
      </c>
      <c r="F178" s="2" t="str">
        <f t="shared" si="9"/>
        <v>E2024020</v>
      </c>
      <c r="G178" s="2" t="s">
        <v>392</v>
      </c>
      <c r="H178" s="6" t="s">
        <v>85</v>
      </c>
      <c r="I178" s="6" t="s">
        <v>54</v>
      </c>
      <c r="J178" s="15">
        <v>73.650000000000006</v>
      </c>
      <c r="K178" s="13">
        <v>29</v>
      </c>
      <c r="L178" s="1"/>
    </row>
    <row r="179" spans="1:12" ht="21.95" customHeight="1">
      <c r="A179" s="1">
        <v>177</v>
      </c>
      <c r="B179" s="2" t="str">
        <f>"李婧雯"</f>
        <v>李婧雯</v>
      </c>
      <c r="C179" s="2" t="str">
        <f>"女"</f>
        <v>女</v>
      </c>
      <c r="D179" s="2" t="s">
        <v>10</v>
      </c>
      <c r="E179" s="2" t="s">
        <v>9</v>
      </c>
      <c r="F179" s="2" t="str">
        <f t="shared" si="9"/>
        <v>E2024020</v>
      </c>
      <c r="G179" s="2" t="s">
        <v>363</v>
      </c>
      <c r="H179" s="6" t="s">
        <v>35</v>
      </c>
      <c r="I179" s="6" t="s">
        <v>28</v>
      </c>
      <c r="J179" s="15">
        <v>73.39</v>
      </c>
      <c r="K179" s="13">
        <v>30</v>
      </c>
      <c r="L179" s="1"/>
    </row>
    <row r="180" spans="1:12" ht="21.95" customHeight="1">
      <c r="A180" s="1">
        <v>178</v>
      </c>
      <c r="B180" s="2" t="str">
        <f>"刘熊克慧"</f>
        <v>刘熊克慧</v>
      </c>
      <c r="C180" s="2" t="str">
        <f>"女"</f>
        <v>女</v>
      </c>
      <c r="D180" s="2" t="s">
        <v>10</v>
      </c>
      <c r="E180" s="2" t="s">
        <v>9</v>
      </c>
      <c r="F180" s="2" t="str">
        <f t="shared" si="9"/>
        <v>E2024020</v>
      </c>
      <c r="G180" s="2" t="s">
        <v>463</v>
      </c>
      <c r="H180" s="6" t="s">
        <v>38</v>
      </c>
      <c r="I180" s="6" t="s">
        <v>38</v>
      </c>
      <c r="J180" s="15">
        <v>73.25</v>
      </c>
      <c r="K180" s="13">
        <v>31</v>
      </c>
      <c r="L180" s="1"/>
    </row>
    <row r="181" spans="1:12" ht="21.95" customHeight="1">
      <c r="A181" s="1">
        <v>179</v>
      </c>
      <c r="B181" s="2" t="str">
        <f>"杨思琪"</f>
        <v>杨思琪</v>
      </c>
      <c r="C181" s="2" t="str">
        <f>"女"</f>
        <v>女</v>
      </c>
      <c r="D181" s="2" t="s">
        <v>10</v>
      </c>
      <c r="E181" s="2" t="s">
        <v>9</v>
      </c>
      <c r="F181" s="2" t="str">
        <f t="shared" si="9"/>
        <v>E2024020</v>
      </c>
      <c r="G181" s="2" t="s">
        <v>430</v>
      </c>
      <c r="H181" s="6" t="s">
        <v>59</v>
      </c>
      <c r="I181" s="6" t="s">
        <v>58</v>
      </c>
      <c r="J181" s="15">
        <v>73.13</v>
      </c>
      <c r="K181" s="13">
        <v>32</v>
      </c>
      <c r="L181" s="1"/>
    </row>
    <row r="182" spans="1:12" ht="21.95" customHeight="1">
      <c r="A182" s="1">
        <v>180</v>
      </c>
      <c r="B182" s="2" t="str">
        <f>"李健豪"</f>
        <v>李健豪</v>
      </c>
      <c r="C182" s="2" t="str">
        <f>"男"</f>
        <v>男</v>
      </c>
      <c r="D182" s="2" t="s">
        <v>10</v>
      </c>
      <c r="E182" s="2" t="s">
        <v>9</v>
      </c>
      <c r="F182" s="2" t="str">
        <f t="shared" si="9"/>
        <v>E2024020</v>
      </c>
      <c r="G182" s="2" t="s">
        <v>470</v>
      </c>
      <c r="H182" s="6" t="s">
        <v>38</v>
      </c>
      <c r="I182" s="6" t="s">
        <v>63</v>
      </c>
      <c r="J182" s="15">
        <v>72.569999999999993</v>
      </c>
      <c r="K182" s="13">
        <v>33</v>
      </c>
      <c r="L182" s="1"/>
    </row>
    <row r="183" spans="1:12" ht="21.95" customHeight="1">
      <c r="A183" s="1">
        <v>181</v>
      </c>
      <c r="B183" s="2" t="str">
        <f>"闫睿"</f>
        <v>闫睿</v>
      </c>
      <c r="C183" s="2" t="str">
        <f>"男"</f>
        <v>男</v>
      </c>
      <c r="D183" s="2" t="s">
        <v>10</v>
      </c>
      <c r="E183" s="2" t="s">
        <v>9</v>
      </c>
      <c r="F183" s="2" t="str">
        <f t="shared" si="9"/>
        <v>E2024020</v>
      </c>
      <c r="G183" s="2" t="s">
        <v>318</v>
      </c>
      <c r="H183" s="6" t="s">
        <v>57</v>
      </c>
      <c r="I183" s="6" t="s">
        <v>62</v>
      </c>
      <c r="J183" s="15">
        <v>72.52</v>
      </c>
      <c r="K183" s="13">
        <v>34</v>
      </c>
      <c r="L183" s="1"/>
    </row>
    <row r="184" spans="1:12" ht="21.95" customHeight="1">
      <c r="A184" s="1">
        <v>182</v>
      </c>
      <c r="B184" s="2" t="str">
        <f>"陈华"</f>
        <v>陈华</v>
      </c>
      <c r="C184" s="2" t="str">
        <f>"女"</f>
        <v>女</v>
      </c>
      <c r="D184" s="2" t="s">
        <v>10</v>
      </c>
      <c r="E184" s="2" t="s">
        <v>9</v>
      </c>
      <c r="F184" s="2" t="str">
        <f t="shared" si="9"/>
        <v>E2024020</v>
      </c>
      <c r="G184" s="2" t="s">
        <v>350</v>
      </c>
      <c r="H184" s="6" t="s">
        <v>34</v>
      </c>
      <c r="I184" s="6" t="s">
        <v>63</v>
      </c>
      <c r="J184" s="15">
        <v>72.08</v>
      </c>
      <c r="K184" s="13">
        <v>35</v>
      </c>
      <c r="L184" s="1"/>
    </row>
    <row r="185" spans="1:12" ht="21.95" customHeight="1">
      <c r="A185" s="1">
        <v>183</v>
      </c>
      <c r="B185" s="2" t="str">
        <f>"覃云明"</f>
        <v>覃云明</v>
      </c>
      <c r="C185" s="2" t="str">
        <f>"女"</f>
        <v>女</v>
      </c>
      <c r="D185" s="2" t="s">
        <v>10</v>
      </c>
      <c r="E185" s="2" t="s">
        <v>9</v>
      </c>
      <c r="F185" s="2" t="str">
        <f t="shared" si="9"/>
        <v>E2024020</v>
      </c>
      <c r="G185" s="2" t="s">
        <v>450</v>
      </c>
      <c r="H185" s="6" t="s">
        <v>59</v>
      </c>
      <c r="I185" s="6" t="s">
        <v>72</v>
      </c>
      <c r="J185" s="15">
        <v>71.95</v>
      </c>
      <c r="K185" s="13">
        <v>36</v>
      </c>
      <c r="L185" s="1"/>
    </row>
    <row r="186" spans="1:12" ht="21.95" customHeight="1">
      <c r="A186" s="1">
        <v>184</v>
      </c>
      <c r="B186" s="2" t="str">
        <f>"黄骞"</f>
        <v>黄骞</v>
      </c>
      <c r="C186" s="2" t="str">
        <f>"女"</f>
        <v>女</v>
      </c>
      <c r="D186" s="2" t="s">
        <v>10</v>
      </c>
      <c r="E186" s="2" t="s">
        <v>9</v>
      </c>
      <c r="F186" s="2" t="str">
        <f t="shared" si="9"/>
        <v>E2024020</v>
      </c>
      <c r="G186" s="2" t="s">
        <v>385</v>
      </c>
      <c r="H186" s="6" t="s">
        <v>35</v>
      </c>
      <c r="I186" s="6" t="s">
        <v>50</v>
      </c>
      <c r="J186" s="15">
        <v>71.819999999999993</v>
      </c>
      <c r="K186" s="13">
        <v>37</v>
      </c>
      <c r="L186" s="1"/>
    </row>
    <row r="187" spans="1:12" ht="21.95" customHeight="1">
      <c r="A187" s="1">
        <v>185</v>
      </c>
      <c r="B187" s="2" t="str">
        <f>"向邓华"</f>
        <v>向邓华</v>
      </c>
      <c r="C187" s="2" t="str">
        <f>"男"</f>
        <v>男</v>
      </c>
      <c r="D187" s="2" t="s">
        <v>10</v>
      </c>
      <c r="E187" s="2" t="s">
        <v>9</v>
      </c>
      <c r="F187" s="2" t="str">
        <f t="shared" si="9"/>
        <v>E2024020</v>
      </c>
      <c r="G187" s="2" t="s">
        <v>498</v>
      </c>
      <c r="H187" s="6" t="s">
        <v>60</v>
      </c>
      <c r="I187" s="6" t="s">
        <v>62</v>
      </c>
      <c r="J187" s="15">
        <v>71.72</v>
      </c>
      <c r="K187" s="13">
        <v>38</v>
      </c>
      <c r="L187" s="1"/>
    </row>
    <row r="188" spans="1:12" ht="21.95" customHeight="1">
      <c r="A188" s="1">
        <v>186</v>
      </c>
      <c r="B188" s="2" t="str">
        <f>"周蓉"</f>
        <v>周蓉</v>
      </c>
      <c r="C188" s="2" t="str">
        <f>"女"</f>
        <v>女</v>
      </c>
      <c r="D188" s="2" t="s">
        <v>10</v>
      </c>
      <c r="E188" s="2" t="s">
        <v>9</v>
      </c>
      <c r="F188" s="2" t="str">
        <f t="shared" si="9"/>
        <v>E2024020</v>
      </c>
      <c r="G188" s="2" t="s">
        <v>506</v>
      </c>
      <c r="H188" s="6" t="s">
        <v>60</v>
      </c>
      <c r="I188" s="6" t="s">
        <v>66</v>
      </c>
      <c r="J188" s="15">
        <v>71.64</v>
      </c>
      <c r="K188" s="13">
        <v>39</v>
      </c>
      <c r="L188" s="1"/>
    </row>
    <row r="189" spans="1:12" ht="21.95" customHeight="1">
      <c r="A189" s="1">
        <v>187</v>
      </c>
      <c r="B189" s="2" t="str">
        <f>"周晓霖"</f>
        <v>周晓霖</v>
      </c>
      <c r="C189" s="2" t="str">
        <f>"女"</f>
        <v>女</v>
      </c>
      <c r="D189" s="2" t="s">
        <v>10</v>
      </c>
      <c r="E189" s="2" t="s">
        <v>9</v>
      </c>
      <c r="F189" s="2" t="str">
        <f t="shared" si="9"/>
        <v>E2024020</v>
      </c>
      <c r="G189" s="2" t="s">
        <v>423</v>
      </c>
      <c r="H189" s="6" t="s">
        <v>59</v>
      </c>
      <c r="I189" s="6" t="s">
        <v>28</v>
      </c>
      <c r="J189" s="15">
        <v>71.180000000000007</v>
      </c>
      <c r="K189" s="13">
        <v>40</v>
      </c>
      <c r="L189" s="1"/>
    </row>
    <row r="190" spans="1:12" ht="21.95" customHeight="1">
      <c r="A190" s="1">
        <v>188</v>
      </c>
      <c r="B190" s="2" t="str">
        <f>"邓奉苠"</f>
        <v>邓奉苠</v>
      </c>
      <c r="C190" s="2" t="str">
        <f>"女"</f>
        <v>女</v>
      </c>
      <c r="D190" s="2" t="s">
        <v>10</v>
      </c>
      <c r="E190" s="2" t="s">
        <v>9</v>
      </c>
      <c r="F190" s="2" t="str">
        <f t="shared" si="9"/>
        <v>E2024020</v>
      </c>
      <c r="G190" s="2" t="s">
        <v>325</v>
      </c>
      <c r="H190" s="6" t="s">
        <v>57</v>
      </c>
      <c r="I190" s="6" t="s">
        <v>50</v>
      </c>
      <c r="J190" s="15">
        <v>71.040000000000006</v>
      </c>
      <c r="K190" s="13">
        <v>41</v>
      </c>
      <c r="L190" s="1"/>
    </row>
    <row r="191" spans="1:12" ht="21.95" customHeight="1">
      <c r="A191" s="1">
        <v>189</v>
      </c>
      <c r="B191" s="2" t="str">
        <f>"谭春晖"</f>
        <v>谭春晖</v>
      </c>
      <c r="C191" s="2" t="str">
        <f>"男"</f>
        <v>男</v>
      </c>
      <c r="D191" s="2" t="s">
        <v>10</v>
      </c>
      <c r="E191" s="2" t="s">
        <v>9</v>
      </c>
      <c r="F191" s="2" t="str">
        <f t="shared" si="9"/>
        <v>E2024020</v>
      </c>
      <c r="G191" s="2" t="s">
        <v>376</v>
      </c>
      <c r="H191" s="6" t="s">
        <v>58</v>
      </c>
      <c r="I191" s="6" t="s">
        <v>61</v>
      </c>
      <c r="J191" s="15">
        <v>70.989999999999995</v>
      </c>
      <c r="K191" s="13">
        <v>42</v>
      </c>
      <c r="L191" s="1"/>
    </row>
    <row r="192" spans="1:12" ht="21.95" customHeight="1">
      <c r="A192" s="1">
        <v>190</v>
      </c>
      <c r="B192" s="2" t="str">
        <f>"谭晓宇"</f>
        <v>谭晓宇</v>
      </c>
      <c r="C192" s="2" t="str">
        <f t="shared" ref="C192:C198" si="11">"女"</f>
        <v>女</v>
      </c>
      <c r="D192" s="2" t="s">
        <v>10</v>
      </c>
      <c r="E192" s="2" t="s">
        <v>9</v>
      </c>
      <c r="F192" s="2" t="str">
        <f t="shared" si="9"/>
        <v>E2024020</v>
      </c>
      <c r="G192" s="2" t="s">
        <v>471</v>
      </c>
      <c r="H192" s="6" t="s">
        <v>38</v>
      </c>
      <c r="I192" s="6" t="s">
        <v>46</v>
      </c>
      <c r="J192" s="15">
        <v>70.77</v>
      </c>
      <c r="K192" s="13">
        <v>43</v>
      </c>
      <c r="L192" s="1"/>
    </row>
    <row r="193" spans="1:12" ht="21.95" customHeight="1">
      <c r="A193" s="1">
        <v>191</v>
      </c>
      <c r="B193" s="2" t="str">
        <f>"杨蕊莲"</f>
        <v>杨蕊莲</v>
      </c>
      <c r="C193" s="2" t="str">
        <f t="shared" si="11"/>
        <v>女</v>
      </c>
      <c r="D193" s="2" t="s">
        <v>10</v>
      </c>
      <c r="E193" s="2" t="s">
        <v>9</v>
      </c>
      <c r="F193" s="2" t="str">
        <f t="shared" si="9"/>
        <v>E2024020</v>
      </c>
      <c r="G193" s="2" t="s">
        <v>380</v>
      </c>
      <c r="H193" s="6" t="s">
        <v>58</v>
      </c>
      <c r="I193" s="6" t="s">
        <v>63</v>
      </c>
      <c r="J193" s="15">
        <v>70.17</v>
      </c>
      <c r="K193" s="13">
        <v>44</v>
      </c>
      <c r="L193" s="1"/>
    </row>
    <row r="194" spans="1:12" ht="21.95" customHeight="1">
      <c r="A194" s="1">
        <v>192</v>
      </c>
      <c r="B194" s="2" t="str">
        <f>"杜江琪"</f>
        <v>杜江琪</v>
      </c>
      <c r="C194" s="2" t="str">
        <f t="shared" si="11"/>
        <v>女</v>
      </c>
      <c r="D194" s="2" t="s">
        <v>10</v>
      </c>
      <c r="E194" s="2" t="s">
        <v>9</v>
      </c>
      <c r="F194" s="2" t="str">
        <f t="shared" si="9"/>
        <v>E2024020</v>
      </c>
      <c r="G194" s="2" t="s">
        <v>319</v>
      </c>
      <c r="H194" s="6" t="s">
        <v>57</v>
      </c>
      <c r="I194" s="6" t="s">
        <v>44</v>
      </c>
      <c r="J194" s="15">
        <v>70.11</v>
      </c>
      <c r="K194" s="13">
        <v>45</v>
      </c>
      <c r="L194" s="1"/>
    </row>
    <row r="195" spans="1:12" ht="21.95" customHeight="1">
      <c r="A195" s="1">
        <v>193</v>
      </c>
      <c r="B195" s="2" t="str">
        <f>"张华丽"</f>
        <v>张华丽</v>
      </c>
      <c r="C195" s="2" t="str">
        <f t="shared" si="11"/>
        <v>女</v>
      </c>
      <c r="D195" s="2" t="s">
        <v>10</v>
      </c>
      <c r="E195" s="2" t="s">
        <v>9</v>
      </c>
      <c r="F195" s="2" t="str">
        <f t="shared" si="9"/>
        <v>E2024020</v>
      </c>
      <c r="G195" s="2" t="s">
        <v>387</v>
      </c>
      <c r="H195" s="6" t="s">
        <v>35</v>
      </c>
      <c r="I195" s="6" t="s">
        <v>52</v>
      </c>
      <c r="J195" s="15">
        <v>70.09</v>
      </c>
      <c r="K195" s="13">
        <v>46</v>
      </c>
      <c r="L195" s="1"/>
    </row>
    <row r="196" spans="1:12" ht="21.95" customHeight="1">
      <c r="A196" s="1">
        <v>194</v>
      </c>
      <c r="B196" s="2" t="str">
        <f>"张碧莲"</f>
        <v>张碧莲</v>
      </c>
      <c r="C196" s="2" t="str">
        <f t="shared" si="11"/>
        <v>女</v>
      </c>
      <c r="D196" s="2" t="s">
        <v>10</v>
      </c>
      <c r="E196" s="2" t="s">
        <v>9</v>
      </c>
      <c r="F196" s="2" t="str">
        <f t="shared" si="9"/>
        <v>E2024020</v>
      </c>
      <c r="G196" s="2" t="s">
        <v>349</v>
      </c>
      <c r="H196" s="6" t="s">
        <v>34</v>
      </c>
      <c r="I196" s="6" t="s">
        <v>44</v>
      </c>
      <c r="J196" s="15">
        <v>69.849999999999994</v>
      </c>
      <c r="K196" s="13">
        <v>47</v>
      </c>
      <c r="L196" s="1"/>
    </row>
    <row r="197" spans="1:12" ht="21.95" customHeight="1">
      <c r="A197" s="1">
        <v>195</v>
      </c>
      <c r="B197" s="2" t="str">
        <f>"邹云梦"</f>
        <v>邹云梦</v>
      </c>
      <c r="C197" s="2" t="str">
        <f t="shared" si="11"/>
        <v>女</v>
      </c>
      <c r="D197" s="2" t="s">
        <v>10</v>
      </c>
      <c r="E197" s="2" t="s">
        <v>9</v>
      </c>
      <c r="F197" s="2" t="str">
        <f t="shared" si="9"/>
        <v>E2024020</v>
      </c>
      <c r="G197" s="2" t="s">
        <v>357</v>
      </c>
      <c r="H197" s="6" t="s">
        <v>34</v>
      </c>
      <c r="I197" s="6" t="s">
        <v>52</v>
      </c>
      <c r="J197" s="15">
        <v>69.17</v>
      </c>
      <c r="K197" s="13">
        <v>48</v>
      </c>
      <c r="L197" s="1"/>
    </row>
    <row r="198" spans="1:12" ht="21.95" customHeight="1">
      <c r="A198" s="1">
        <v>196</v>
      </c>
      <c r="B198" s="2" t="str">
        <f>"谭艳群"</f>
        <v>谭艳群</v>
      </c>
      <c r="C198" s="2" t="str">
        <f t="shared" si="11"/>
        <v>女</v>
      </c>
      <c r="D198" s="2" t="s">
        <v>10</v>
      </c>
      <c r="E198" s="2" t="s">
        <v>9</v>
      </c>
      <c r="F198" s="2" t="str">
        <f t="shared" si="9"/>
        <v>E2024020</v>
      </c>
      <c r="G198" s="2" t="s">
        <v>312</v>
      </c>
      <c r="H198" s="6" t="s">
        <v>57</v>
      </c>
      <c r="I198" s="6" t="s">
        <v>59</v>
      </c>
      <c r="J198" s="15">
        <v>68.95</v>
      </c>
      <c r="K198" s="13">
        <v>49</v>
      </c>
      <c r="L198" s="1"/>
    </row>
    <row r="199" spans="1:12" ht="21.95" customHeight="1">
      <c r="A199" s="1">
        <v>197</v>
      </c>
      <c r="B199" s="2" t="str">
        <f>"谭宗伟"</f>
        <v>谭宗伟</v>
      </c>
      <c r="C199" s="2" t="str">
        <f>"男"</f>
        <v>男</v>
      </c>
      <c r="D199" s="2" t="s">
        <v>10</v>
      </c>
      <c r="E199" s="2" t="s">
        <v>9</v>
      </c>
      <c r="F199" s="2" t="str">
        <f t="shared" si="9"/>
        <v>E2024020</v>
      </c>
      <c r="G199" s="2" t="s">
        <v>320</v>
      </c>
      <c r="H199" s="6" t="s">
        <v>57</v>
      </c>
      <c r="I199" s="6" t="s">
        <v>63</v>
      </c>
      <c r="J199" s="15">
        <v>68.95</v>
      </c>
      <c r="K199" s="13">
        <v>49</v>
      </c>
      <c r="L199" s="1"/>
    </row>
    <row r="200" spans="1:12" ht="21.95" customHeight="1">
      <c r="A200" s="1">
        <v>198</v>
      </c>
      <c r="B200" s="2" t="str">
        <f>"易春梅"</f>
        <v>易春梅</v>
      </c>
      <c r="C200" s="2" t="str">
        <f>"女"</f>
        <v>女</v>
      </c>
      <c r="D200" s="2" t="s">
        <v>10</v>
      </c>
      <c r="E200" s="2" t="s">
        <v>9</v>
      </c>
      <c r="F200" s="2" t="str">
        <f t="shared" si="9"/>
        <v>E2024020</v>
      </c>
      <c r="G200" s="2" t="s">
        <v>396</v>
      </c>
      <c r="H200" s="6" t="s">
        <v>36</v>
      </c>
      <c r="I200" s="6" t="s">
        <v>56</v>
      </c>
      <c r="J200" s="15">
        <v>68.89</v>
      </c>
      <c r="K200" s="13">
        <v>51</v>
      </c>
      <c r="L200" s="1"/>
    </row>
    <row r="201" spans="1:12" ht="21.95" customHeight="1">
      <c r="A201" s="1">
        <v>199</v>
      </c>
      <c r="B201" s="2" t="str">
        <f>"陈敏"</f>
        <v>陈敏</v>
      </c>
      <c r="C201" s="2" t="str">
        <f>"女"</f>
        <v>女</v>
      </c>
      <c r="D201" s="2" t="s">
        <v>10</v>
      </c>
      <c r="E201" s="2" t="s">
        <v>9</v>
      </c>
      <c r="F201" s="2" t="str">
        <f t="shared" si="9"/>
        <v>E2024020</v>
      </c>
      <c r="G201" s="2" t="s">
        <v>419</v>
      </c>
      <c r="H201" s="6" t="s">
        <v>36</v>
      </c>
      <c r="I201" s="6" t="s">
        <v>71</v>
      </c>
      <c r="J201" s="15">
        <v>68.89</v>
      </c>
      <c r="K201" s="13">
        <v>51</v>
      </c>
      <c r="L201" s="1"/>
    </row>
    <row r="202" spans="1:12" ht="21.95" customHeight="1">
      <c r="A202" s="1">
        <v>200</v>
      </c>
      <c r="B202" s="2" t="str">
        <f>"刘威"</f>
        <v>刘威</v>
      </c>
      <c r="C202" s="2" t="str">
        <f>"男"</f>
        <v>男</v>
      </c>
      <c r="D202" s="2" t="s">
        <v>10</v>
      </c>
      <c r="E202" s="2" t="s">
        <v>9</v>
      </c>
      <c r="F202" s="2" t="str">
        <f t="shared" si="9"/>
        <v>E2024020</v>
      </c>
      <c r="G202" s="2" t="s">
        <v>451</v>
      </c>
      <c r="H202" s="6" t="s">
        <v>87</v>
      </c>
      <c r="I202" s="6" t="s">
        <v>77</v>
      </c>
      <c r="J202" s="15">
        <v>68.83</v>
      </c>
      <c r="K202" s="13">
        <v>53</v>
      </c>
      <c r="L202" s="1"/>
    </row>
    <row r="203" spans="1:12" ht="21.95" customHeight="1">
      <c r="A203" s="1">
        <v>201</v>
      </c>
      <c r="B203" s="2" t="str">
        <f>"严杰"</f>
        <v>严杰</v>
      </c>
      <c r="C203" s="2" t="str">
        <f>"女"</f>
        <v>女</v>
      </c>
      <c r="D203" s="2" t="s">
        <v>10</v>
      </c>
      <c r="E203" s="2" t="s">
        <v>9</v>
      </c>
      <c r="F203" s="2" t="str">
        <f t="shared" si="9"/>
        <v>E2024020</v>
      </c>
      <c r="G203" s="2" t="s">
        <v>365</v>
      </c>
      <c r="H203" s="6" t="s">
        <v>35</v>
      </c>
      <c r="I203" s="6" t="s">
        <v>30</v>
      </c>
      <c r="J203" s="15">
        <v>68.81</v>
      </c>
      <c r="K203" s="13">
        <v>54</v>
      </c>
      <c r="L203" s="1"/>
    </row>
    <row r="204" spans="1:12" ht="21.95" customHeight="1">
      <c r="A204" s="1">
        <v>202</v>
      </c>
      <c r="B204" s="2" t="str">
        <f>"谭小影"</f>
        <v>谭小影</v>
      </c>
      <c r="C204" s="2" t="str">
        <f>"女"</f>
        <v>女</v>
      </c>
      <c r="D204" s="2" t="s">
        <v>10</v>
      </c>
      <c r="E204" s="2" t="s">
        <v>9</v>
      </c>
      <c r="F204" s="2" t="str">
        <f t="shared" si="9"/>
        <v>E2024020</v>
      </c>
      <c r="G204" s="2" t="s">
        <v>487</v>
      </c>
      <c r="H204" s="6" t="s">
        <v>60</v>
      </c>
      <c r="I204" s="6" t="s">
        <v>32</v>
      </c>
      <c r="J204" s="15">
        <v>68.7</v>
      </c>
      <c r="K204" s="13">
        <v>55</v>
      </c>
      <c r="L204" s="1"/>
    </row>
    <row r="205" spans="1:12" ht="21.95" customHeight="1">
      <c r="A205" s="1">
        <v>203</v>
      </c>
      <c r="B205" s="2" t="str">
        <f>"胡立"</f>
        <v>胡立</v>
      </c>
      <c r="C205" s="2" t="str">
        <f>"男"</f>
        <v>男</v>
      </c>
      <c r="D205" s="2" t="s">
        <v>10</v>
      </c>
      <c r="E205" s="2" t="s">
        <v>9</v>
      </c>
      <c r="F205" s="2" t="str">
        <f t="shared" si="9"/>
        <v>E2024020</v>
      </c>
      <c r="G205" s="2" t="s">
        <v>355</v>
      </c>
      <c r="H205" s="6" t="s">
        <v>34</v>
      </c>
      <c r="I205" s="6" t="s">
        <v>50</v>
      </c>
      <c r="J205" s="15">
        <v>68.64</v>
      </c>
      <c r="K205" s="13">
        <v>56</v>
      </c>
      <c r="L205" s="1"/>
    </row>
    <row r="206" spans="1:12" ht="21.95" customHeight="1">
      <c r="A206" s="1">
        <v>204</v>
      </c>
      <c r="B206" s="2" t="str">
        <f>"严蘭"</f>
        <v>严蘭</v>
      </c>
      <c r="C206" s="2" t="str">
        <f>"女"</f>
        <v>女</v>
      </c>
      <c r="D206" s="2" t="s">
        <v>10</v>
      </c>
      <c r="E206" s="2" t="s">
        <v>9</v>
      </c>
      <c r="F206" s="2" t="str">
        <f t="shared" si="9"/>
        <v>E2024020</v>
      </c>
      <c r="G206" s="2" t="s">
        <v>303</v>
      </c>
      <c r="H206" s="6" t="s">
        <v>57</v>
      </c>
      <c r="I206" s="6" t="s">
        <v>28</v>
      </c>
      <c r="J206" s="15">
        <v>68.540000000000006</v>
      </c>
      <c r="K206" s="13">
        <v>57</v>
      </c>
      <c r="L206" s="1"/>
    </row>
    <row r="207" spans="1:12" ht="21.95" customHeight="1">
      <c r="A207" s="1">
        <v>205</v>
      </c>
      <c r="B207" s="2" t="str">
        <f>"黄炎"</f>
        <v>黄炎</v>
      </c>
      <c r="C207" s="2" t="str">
        <f>"男"</f>
        <v>男</v>
      </c>
      <c r="D207" s="2" t="s">
        <v>10</v>
      </c>
      <c r="E207" s="2" t="s">
        <v>9</v>
      </c>
      <c r="F207" s="2" t="str">
        <f t="shared" si="9"/>
        <v>E2024020</v>
      </c>
      <c r="G207" s="2" t="s">
        <v>447</v>
      </c>
      <c r="H207" s="6" t="s">
        <v>59</v>
      </c>
      <c r="I207" s="6" t="s">
        <v>52</v>
      </c>
      <c r="J207" s="15">
        <v>68.510000000000005</v>
      </c>
      <c r="K207" s="13">
        <v>58</v>
      </c>
      <c r="L207" s="1"/>
    </row>
    <row r="208" spans="1:12" ht="21.95" customHeight="1">
      <c r="A208" s="1">
        <v>206</v>
      </c>
      <c r="B208" s="2" t="str">
        <f>"谭宇笛"</f>
        <v>谭宇笛</v>
      </c>
      <c r="C208" s="2" t="str">
        <f>"男"</f>
        <v>男</v>
      </c>
      <c r="D208" s="2" t="s">
        <v>10</v>
      </c>
      <c r="E208" s="2" t="s">
        <v>9</v>
      </c>
      <c r="F208" s="2" t="str">
        <f t="shared" si="9"/>
        <v>E2024020</v>
      </c>
      <c r="G208" s="2" t="s">
        <v>358</v>
      </c>
      <c r="H208" s="6" t="s">
        <v>34</v>
      </c>
      <c r="I208" s="6" t="s">
        <v>67</v>
      </c>
      <c r="J208" s="15">
        <v>68.48</v>
      </c>
      <c r="K208" s="13">
        <v>59</v>
      </c>
      <c r="L208" s="1"/>
    </row>
    <row r="209" spans="1:12" ht="21.95" customHeight="1">
      <c r="A209" s="1">
        <v>207</v>
      </c>
      <c r="B209" s="2" t="str">
        <f>"向睿迪"</f>
        <v>向睿迪</v>
      </c>
      <c r="C209" s="2" t="str">
        <f>"男"</f>
        <v>男</v>
      </c>
      <c r="D209" s="2" t="s">
        <v>10</v>
      </c>
      <c r="E209" s="2" t="s">
        <v>9</v>
      </c>
      <c r="F209" s="2" t="str">
        <f t="shared" si="9"/>
        <v>E2024020</v>
      </c>
      <c r="G209" s="2" t="s">
        <v>395</v>
      </c>
      <c r="H209" s="6" t="s">
        <v>36</v>
      </c>
      <c r="I209" s="6" t="s">
        <v>30</v>
      </c>
      <c r="J209" s="15">
        <v>68.09</v>
      </c>
      <c r="K209" s="13">
        <v>60</v>
      </c>
      <c r="L209" s="1"/>
    </row>
    <row r="210" spans="1:12" ht="21.95" customHeight="1">
      <c r="A210" s="1">
        <v>208</v>
      </c>
      <c r="B210" s="2" t="str">
        <f>"谭洁"</f>
        <v>谭洁</v>
      </c>
      <c r="C210" s="2" t="str">
        <f>"女"</f>
        <v>女</v>
      </c>
      <c r="D210" s="2" t="s">
        <v>10</v>
      </c>
      <c r="E210" s="2" t="s">
        <v>9</v>
      </c>
      <c r="F210" s="2" t="str">
        <f t="shared" si="9"/>
        <v>E2024020</v>
      </c>
      <c r="G210" s="2" t="s">
        <v>496</v>
      </c>
      <c r="H210" s="6" t="s">
        <v>60</v>
      </c>
      <c r="I210" s="6" t="s">
        <v>61</v>
      </c>
      <c r="J210" s="15">
        <v>67.180000000000007</v>
      </c>
      <c r="K210" s="13">
        <v>61</v>
      </c>
      <c r="L210" s="1"/>
    </row>
    <row r="211" spans="1:12" ht="21.95" customHeight="1">
      <c r="A211" s="1">
        <v>209</v>
      </c>
      <c r="B211" s="2" t="str">
        <f>"肖如敬"</f>
        <v>肖如敬</v>
      </c>
      <c r="C211" s="2" t="str">
        <f>"男"</f>
        <v>男</v>
      </c>
      <c r="D211" s="2" t="s">
        <v>10</v>
      </c>
      <c r="E211" s="2" t="s">
        <v>9</v>
      </c>
      <c r="F211" s="2" t="str">
        <f t="shared" si="9"/>
        <v>E2024020</v>
      </c>
      <c r="G211" s="2" t="s">
        <v>377</v>
      </c>
      <c r="H211" s="6" t="s">
        <v>35</v>
      </c>
      <c r="I211" s="6" t="s">
        <v>42</v>
      </c>
      <c r="J211" s="15">
        <v>66.81</v>
      </c>
      <c r="K211" s="13">
        <v>62</v>
      </c>
      <c r="L211" s="1"/>
    </row>
    <row r="212" spans="1:12" ht="21.95" customHeight="1">
      <c r="A212" s="1">
        <v>210</v>
      </c>
      <c r="B212" s="2" t="str">
        <f>"陈星"</f>
        <v>陈星</v>
      </c>
      <c r="C212" s="2" t="str">
        <f>"女"</f>
        <v>女</v>
      </c>
      <c r="D212" s="2" t="s">
        <v>10</v>
      </c>
      <c r="E212" s="2" t="s">
        <v>9</v>
      </c>
      <c r="F212" s="2" t="str">
        <f t="shared" si="9"/>
        <v>E2024020</v>
      </c>
      <c r="G212" s="2" t="s">
        <v>314</v>
      </c>
      <c r="H212" s="6" t="s">
        <v>57</v>
      </c>
      <c r="I212" s="6" t="s">
        <v>60</v>
      </c>
      <c r="J212" s="15">
        <v>66.48</v>
      </c>
      <c r="K212" s="13">
        <v>63</v>
      </c>
      <c r="L212" s="1"/>
    </row>
    <row r="213" spans="1:12" ht="21.95" customHeight="1">
      <c r="A213" s="1">
        <v>211</v>
      </c>
      <c r="B213" s="2" t="str">
        <f>"刘秋银"</f>
        <v>刘秋银</v>
      </c>
      <c r="C213" s="2" t="str">
        <f>"女"</f>
        <v>女</v>
      </c>
      <c r="D213" s="2" t="s">
        <v>10</v>
      </c>
      <c r="E213" s="2" t="s">
        <v>9</v>
      </c>
      <c r="F213" s="2" t="str">
        <f t="shared" si="9"/>
        <v>E2024020</v>
      </c>
      <c r="G213" s="2" t="s">
        <v>489</v>
      </c>
      <c r="H213" s="6" t="s">
        <v>60</v>
      </c>
      <c r="I213" s="6" t="s">
        <v>34</v>
      </c>
      <c r="J213" s="15">
        <v>66.239999999999995</v>
      </c>
      <c r="K213" s="13">
        <v>64</v>
      </c>
      <c r="L213" s="1"/>
    </row>
    <row r="214" spans="1:12" ht="21.95" customHeight="1">
      <c r="A214" s="1">
        <v>212</v>
      </c>
      <c r="B214" s="2" t="str">
        <f>"张婷"</f>
        <v>张婷</v>
      </c>
      <c r="C214" s="2" t="str">
        <f>"女"</f>
        <v>女</v>
      </c>
      <c r="D214" s="2" t="s">
        <v>10</v>
      </c>
      <c r="E214" s="2" t="s">
        <v>9</v>
      </c>
      <c r="F214" s="2" t="str">
        <f t="shared" ref="F214:F277" si="12">"E2024020"</f>
        <v>E2024020</v>
      </c>
      <c r="G214" s="2" t="s">
        <v>448</v>
      </c>
      <c r="H214" s="6" t="s">
        <v>59</v>
      </c>
      <c r="I214" s="6" t="s">
        <v>67</v>
      </c>
      <c r="J214" s="15">
        <v>66.13</v>
      </c>
      <c r="K214" s="13">
        <v>65</v>
      </c>
      <c r="L214" s="1"/>
    </row>
    <row r="215" spans="1:12" ht="21.95" customHeight="1">
      <c r="A215" s="1">
        <v>213</v>
      </c>
      <c r="B215" s="2" t="str">
        <f>"田静"</f>
        <v>田静</v>
      </c>
      <c r="C215" s="2" t="str">
        <f>"女"</f>
        <v>女</v>
      </c>
      <c r="D215" s="2" t="s">
        <v>10</v>
      </c>
      <c r="E215" s="2" t="s">
        <v>9</v>
      </c>
      <c r="F215" s="2" t="str">
        <f t="shared" si="12"/>
        <v>E2024020</v>
      </c>
      <c r="G215" s="2" t="s">
        <v>340</v>
      </c>
      <c r="H215" s="6" t="s">
        <v>34</v>
      </c>
      <c r="I215" s="6" t="s">
        <v>58</v>
      </c>
      <c r="J215" s="15">
        <v>65.08</v>
      </c>
      <c r="K215" s="13">
        <v>66</v>
      </c>
      <c r="L215" s="1"/>
    </row>
    <row r="216" spans="1:12" ht="21.95" customHeight="1">
      <c r="A216" s="1">
        <v>214</v>
      </c>
      <c r="B216" s="2" t="str">
        <f>"谭杰"</f>
        <v>谭杰</v>
      </c>
      <c r="C216" s="2" t="str">
        <f>"男"</f>
        <v>男</v>
      </c>
      <c r="D216" s="2" t="s">
        <v>10</v>
      </c>
      <c r="E216" s="2" t="s">
        <v>9</v>
      </c>
      <c r="F216" s="2" t="str">
        <f t="shared" si="12"/>
        <v>E2024020</v>
      </c>
      <c r="G216" s="2" t="s">
        <v>321</v>
      </c>
      <c r="H216" s="6" t="s">
        <v>57</v>
      </c>
      <c r="I216" s="6" t="s">
        <v>46</v>
      </c>
      <c r="J216" s="15">
        <v>64.98</v>
      </c>
      <c r="K216" s="13">
        <v>67</v>
      </c>
      <c r="L216" s="1"/>
    </row>
    <row r="217" spans="1:12" ht="21.95" customHeight="1">
      <c r="A217" s="1">
        <v>215</v>
      </c>
      <c r="B217" s="2" t="str">
        <f>"赵娜"</f>
        <v>赵娜</v>
      </c>
      <c r="C217" s="2" t="str">
        <f>"女"</f>
        <v>女</v>
      </c>
      <c r="D217" s="2" t="s">
        <v>10</v>
      </c>
      <c r="E217" s="2" t="s">
        <v>9</v>
      </c>
      <c r="F217" s="2" t="str">
        <f t="shared" si="12"/>
        <v>E2024020</v>
      </c>
      <c r="G217" s="2" t="s">
        <v>476</v>
      </c>
      <c r="H217" s="6" t="s">
        <v>38</v>
      </c>
      <c r="I217" s="6" t="s">
        <v>66</v>
      </c>
      <c r="J217" s="15">
        <v>64.150000000000006</v>
      </c>
      <c r="K217" s="13">
        <v>68</v>
      </c>
      <c r="L217" s="1"/>
    </row>
    <row r="218" spans="1:12" ht="21.95" customHeight="1">
      <c r="A218" s="1">
        <v>216</v>
      </c>
      <c r="B218" s="2" t="str">
        <f>"于隆昌"</f>
        <v>于隆昌</v>
      </c>
      <c r="C218" s="2" t="str">
        <f>"男"</f>
        <v>男</v>
      </c>
      <c r="D218" s="2" t="s">
        <v>10</v>
      </c>
      <c r="E218" s="2" t="s">
        <v>9</v>
      </c>
      <c r="F218" s="2" t="str">
        <f t="shared" si="12"/>
        <v>E2024020</v>
      </c>
      <c r="G218" s="2" t="s">
        <v>473</v>
      </c>
      <c r="H218" s="6" t="s">
        <v>38</v>
      </c>
      <c r="I218" s="6" t="s">
        <v>48</v>
      </c>
      <c r="J218" s="15">
        <v>63.56</v>
      </c>
      <c r="K218" s="13">
        <v>69</v>
      </c>
      <c r="L218" s="1"/>
    </row>
    <row r="219" spans="1:12" ht="21.95" customHeight="1">
      <c r="A219" s="1">
        <v>217</v>
      </c>
      <c r="B219" s="2" t="str">
        <f>"孙琼谣"</f>
        <v>孙琼谣</v>
      </c>
      <c r="C219" s="2" t="str">
        <f>"女"</f>
        <v>女</v>
      </c>
      <c r="D219" s="2" t="s">
        <v>10</v>
      </c>
      <c r="E219" s="2" t="s">
        <v>9</v>
      </c>
      <c r="F219" s="2" t="str">
        <f t="shared" si="12"/>
        <v>E2024020</v>
      </c>
      <c r="G219" s="2" t="s">
        <v>336</v>
      </c>
      <c r="H219" s="6" t="s">
        <v>34</v>
      </c>
      <c r="I219" s="6" t="s">
        <v>56</v>
      </c>
      <c r="J219" s="15">
        <v>63.45</v>
      </c>
      <c r="K219" s="13">
        <v>70</v>
      </c>
      <c r="L219" s="1"/>
    </row>
    <row r="220" spans="1:12" ht="21.95" customHeight="1">
      <c r="A220" s="1">
        <v>218</v>
      </c>
      <c r="B220" s="2" t="str">
        <f>"刘衍珩"</f>
        <v>刘衍珩</v>
      </c>
      <c r="C220" s="2" t="str">
        <f>"男"</f>
        <v>男</v>
      </c>
      <c r="D220" s="2" t="s">
        <v>10</v>
      </c>
      <c r="E220" s="2" t="s">
        <v>9</v>
      </c>
      <c r="F220" s="2" t="str">
        <f t="shared" si="12"/>
        <v>E2024020</v>
      </c>
      <c r="G220" s="2" t="s">
        <v>411</v>
      </c>
      <c r="H220" s="6" t="s">
        <v>36</v>
      </c>
      <c r="I220" s="6" t="s">
        <v>46</v>
      </c>
      <c r="J220" s="15">
        <v>62.78</v>
      </c>
      <c r="K220" s="13">
        <v>71</v>
      </c>
      <c r="L220" s="1"/>
    </row>
    <row r="221" spans="1:12" ht="21.95" customHeight="1">
      <c r="A221" s="1">
        <v>219</v>
      </c>
      <c r="B221" s="2" t="str">
        <f>"吴宗祎"</f>
        <v>吴宗祎</v>
      </c>
      <c r="C221" s="2" t="str">
        <f>"男"</f>
        <v>男</v>
      </c>
      <c r="D221" s="2" t="s">
        <v>10</v>
      </c>
      <c r="E221" s="2" t="s">
        <v>9</v>
      </c>
      <c r="F221" s="2" t="str">
        <f t="shared" si="12"/>
        <v>E2024020</v>
      </c>
      <c r="G221" s="2" t="s">
        <v>378</v>
      </c>
      <c r="H221" s="6" t="s">
        <v>58</v>
      </c>
      <c r="I221" s="6" t="s">
        <v>62</v>
      </c>
      <c r="J221" s="15">
        <v>62.41</v>
      </c>
      <c r="K221" s="13">
        <v>72</v>
      </c>
      <c r="L221" s="1"/>
    </row>
    <row r="222" spans="1:12" ht="21.95" customHeight="1">
      <c r="A222" s="1">
        <v>220</v>
      </c>
      <c r="B222" s="2" t="str">
        <f>"朱灿"</f>
        <v>朱灿</v>
      </c>
      <c r="C222" s="2" t="str">
        <f>"男"</f>
        <v>男</v>
      </c>
      <c r="D222" s="2" t="s">
        <v>10</v>
      </c>
      <c r="E222" s="2" t="s">
        <v>9</v>
      </c>
      <c r="F222" s="2" t="str">
        <f t="shared" si="12"/>
        <v>E2024020</v>
      </c>
      <c r="G222" s="2" t="s">
        <v>327</v>
      </c>
      <c r="H222" s="6" t="s">
        <v>57</v>
      </c>
      <c r="I222" s="6" t="s">
        <v>52</v>
      </c>
      <c r="J222" s="15">
        <v>62.1</v>
      </c>
      <c r="K222" s="13">
        <v>73</v>
      </c>
      <c r="L222" s="1"/>
    </row>
    <row r="223" spans="1:12" ht="21.95" customHeight="1">
      <c r="A223" s="1">
        <v>221</v>
      </c>
      <c r="B223" s="2" t="str">
        <f>"安云堂"</f>
        <v>安云堂</v>
      </c>
      <c r="C223" s="2" t="str">
        <f>"男"</f>
        <v>男</v>
      </c>
      <c r="D223" s="2" t="s">
        <v>10</v>
      </c>
      <c r="E223" s="2" t="s">
        <v>9</v>
      </c>
      <c r="F223" s="2" t="str">
        <f t="shared" si="12"/>
        <v>E2024020</v>
      </c>
      <c r="G223" s="2" t="s">
        <v>382</v>
      </c>
      <c r="H223" s="6" t="s">
        <v>58</v>
      </c>
      <c r="I223" s="6" t="s">
        <v>64</v>
      </c>
      <c r="J223" s="15">
        <v>60.95</v>
      </c>
      <c r="K223" s="13">
        <v>74</v>
      </c>
      <c r="L223" s="1"/>
    </row>
    <row r="224" spans="1:12" ht="21.95" customHeight="1">
      <c r="A224" s="1">
        <v>222</v>
      </c>
      <c r="B224" s="2" t="str">
        <f>"向鸿晨"</f>
        <v>向鸿晨</v>
      </c>
      <c r="C224" s="2" t="str">
        <f>"女"</f>
        <v>女</v>
      </c>
      <c r="D224" s="2" t="s">
        <v>10</v>
      </c>
      <c r="E224" s="2" t="s">
        <v>9</v>
      </c>
      <c r="F224" s="2" t="str">
        <f t="shared" si="12"/>
        <v>E2024020</v>
      </c>
      <c r="G224" s="2" t="s">
        <v>384</v>
      </c>
      <c r="H224" s="6" t="s">
        <v>58</v>
      </c>
      <c r="I224" s="6" t="s">
        <v>65</v>
      </c>
      <c r="J224" s="15">
        <v>59.84</v>
      </c>
      <c r="K224" s="13">
        <v>75</v>
      </c>
      <c r="L224" s="1"/>
    </row>
    <row r="225" spans="1:12" ht="21.95" customHeight="1">
      <c r="A225" s="1">
        <v>223</v>
      </c>
      <c r="B225" s="2" t="str">
        <f>"解樱"</f>
        <v>解樱</v>
      </c>
      <c r="C225" s="2" t="str">
        <f>"女"</f>
        <v>女</v>
      </c>
      <c r="D225" s="2" t="s">
        <v>10</v>
      </c>
      <c r="E225" s="2" t="s">
        <v>9</v>
      </c>
      <c r="F225" s="2" t="str">
        <f t="shared" si="12"/>
        <v>E2024020</v>
      </c>
      <c r="G225" s="2" t="s">
        <v>351</v>
      </c>
      <c r="H225" s="6" t="s">
        <v>34</v>
      </c>
      <c r="I225" s="6" t="s">
        <v>46</v>
      </c>
      <c r="J225" s="15">
        <v>58.45</v>
      </c>
      <c r="K225" s="13">
        <v>76</v>
      </c>
      <c r="L225" s="1"/>
    </row>
    <row r="226" spans="1:12" ht="21.95" customHeight="1">
      <c r="A226" s="1">
        <v>224</v>
      </c>
      <c r="B226" s="2" t="str">
        <f>"艾智灵"</f>
        <v>艾智灵</v>
      </c>
      <c r="C226" s="2" t="str">
        <f>"女"</f>
        <v>女</v>
      </c>
      <c r="D226" s="2" t="s">
        <v>10</v>
      </c>
      <c r="E226" s="2" t="s">
        <v>9</v>
      </c>
      <c r="F226" s="2" t="str">
        <f t="shared" si="12"/>
        <v>E2024020</v>
      </c>
      <c r="G226" s="2" t="s">
        <v>414</v>
      </c>
      <c r="H226" s="6" t="s">
        <v>36</v>
      </c>
      <c r="I226" s="6" t="s">
        <v>65</v>
      </c>
      <c r="J226" s="15">
        <v>57.93</v>
      </c>
      <c r="K226" s="13">
        <v>77</v>
      </c>
      <c r="L226" s="1"/>
    </row>
    <row r="227" spans="1:12" ht="21.95" customHeight="1">
      <c r="A227" s="1">
        <v>225</v>
      </c>
      <c r="B227" s="2" t="str">
        <f>"汪敏"</f>
        <v>汪敏</v>
      </c>
      <c r="C227" s="2" t="str">
        <f>"女"</f>
        <v>女</v>
      </c>
      <c r="D227" s="2" t="s">
        <v>10</v>
      </c>
      <c r="E227" s="2" t="s">
        <v>9</v>
      </c>
      <c r="F227" s="2" t="str">
        <f t="shared" si="12"/>
        <v>E2024020</v>
      </c>
      <c r="G227" s="2" t="s">
        <v>435</v>
      </c>
      <c r="H227" s="6" t="s">
        <v>59</v>
      </c>
      <c r="I227" s="6" t="s">
        <v>40</v>
      </c>
      <c r="J227" s="15">
        <v>53.56</v>
      </c>
      <c r="K227" s="13">
        <v>78</v>
      </c>
      <c r="L227" s="1"/>
    </row>
    <row r="228" spans="1:12" ht="21.95" customHeight="1">
      <c r="A228" s="1">
        <v>226</v>
      </c>
      <c r="B228" s="2" t="str">
        <f>"庹奎"</f>
        <v>庹奎</v>
      </c>
      <c r="C228" s="2" t="str">
        <f>"男"</f>
        <v>男</v>
      </c>
      <c r="D228" s="2" t="s">
        <v>10</v>
      </c>
      <c r="E228" s="2" t="s">
        <v>9</v>
      </c>
      <c r="F228" s="2" t="str">
        <f t="shared" si="12"/>
        <v>E2024020</v>
      </c>
      <c r="G228" s="2" t="s">
        <v>310</v>
      </c>
      <c r="H228" s="6" t="s">
        <v>57</v>
      </c>
      <c r="I228" s="6" t="s">
        <v>58</v>
      </c>
      <c r="J228" s="15">
        <v>52.34</v>
      </c>
      <c r="K228" s="13">
        <v>79</v>
      </c>
      <c r="L228" s="1"/>
    </row>
    <row r="229" spans="1:12" ht="21.95" customHeight="1">
      <c r="A229" s="1">
        <v>227</v>
      </c>
      <c r="B229" s="2" t="str">
        <f>"牟雄鑫"</f>
        <v>牟雄鑫</v>
      </c>
      <c r="C229" s="2" t="str">
        <f>"男"</f>
        <v>男</v>
      </c>
      <c r="D229" s="2" t="s">
        <v>10</v>
      </c>
      <c r="E229" s="2" t="s">
        <v>9</v>
      </c>
      <c r="F229" s="2" t="str">
        <f t="shared" si="12"/>
        <v>E2024020</v>
      </c>
      <c r="G229" s="2" t="s">
        <v>432</v>
      </c>
      <c r="H229" s="6" t="s">
        <v>59</v>
      </c>
      <c r="I229" s="6" t="s">
        <v>59</v>
      </c>
      <c r="J229" s="15">
        <v>51.48</v>
      </c>
      <c r="K229" s="13">
        <v>80</v>
      </c>
      <c r="L229" s="1"/>
    </row>
    <row r="230" spans="1:12" ht="21.95" customHeight="1">
      <c r="A230" s="1">
        <v>228</v>
      </c>
      <c r="B230" s="2" t="str">
        <f>"郭媛媛"</f>
        <v>郭媛媛</v>
      </c>
      <c r="C230" s="2" t="str">
        <f>"女"</f>
        <v>女</v>
      </c>
      <c r="D230" s="2" t="s">
        <v>10</v>
      </c>
      <c r="E230" s="2" t="s">
        <v>9</v>
      </c>
      <c r="F230" s="2" t="str">
        <f t="shared" si="12"/>
        <v>E2024020</v>
      </c>
      <c r="G230" s="2" t="s">
        <v>370</v>
      </c>
      <c r="H230" s="6" t="s">
        <v>58</v>
      </c>
      <c r="I230" s="6" t="s">
        <v>58</v>
      </c>
      <c r="J230" s="15">
        <v>50.86</v>
      </c>
      <c r="K230" s="13">
        <v>81</v>
      </c>
      <c r="L230" s="1"/>
    </row>
    <row r="231" spans="1:12" ht="21.95" customHeight="1">
      <c r="A231" s="1">
        <v>229</v>
      </c>
      <c r="B231" s="2" t="str">
        <f>"宋衍"</f>
        <v>宋衍</v>
      </c>
      <c r="C231" s="2" t="str">
        <f>"男"</f>
        <v>男</v>
      </c>
      <c r="D231" s="2" t="s">
        <v>10</v>
      </c>
      <c r="E231" s="2" t="s">
        <v>9</v>
      </c>
      <c r="F231" s="2" t="str">
        <f t="shared" si="12"/>
        <v>E2024020</v>
      </c>
      <c r="G231" s="2" t="s">
        <v>301</v>
      </c>
      <c r="H231" s="6" t="s">
        <v>81</v>
      </c>
      <c r="I231" s="6" t="s">
        <v>26</v>
      </c>
      <c r="J231" s="15"/>
      <c r="K231" s="13"/>
      <c r="L231" s="3" t="s">
        <v>831</v>
      </c>
    </row>
    <row r="232" spans="1:12" ht="21.95" customHeight="1">
      <c r="A232" s="1">
        <v>230</v>
      </c>
      <c r="B232" s="2" t="str">
        <f>"罗楠"</f>
        <v>罗楠</v>
      </c>
      <c r="C232" s="2" t="str">
        <f>"女"</f>
        <v>女</v>
      </c>
      <c r="D232" s="2" t="s">
        <v>10</v>
      </c>
      <c r="E232" s="2" t="s">
        <v>9</v>
      </c>
      <c r="F232" s="2" t="str">
        <f t="shared" si="12"/>
        <v>E2024020</v>
      </c>
      <c r="G232" s="2" t="s">
        <v>302</v>
      </c>
      <c r="H232" s="6" t="s">
        <v>81</v>
      </c>
      <c r="I232" s="6" t="s">
        <v>54</v>
      </c>
      <c r="J232" s="15"/>
      <c r="K232" s="13"/>
      <c r="L232" s="3" t="s">
        <v>831</v>
      </c>
    </row>
    <row r="233" spans="1:12" ht="21.95" customHeight="1">
      <c r="A233" s="1">
        <v>231</v>
      </c>
      <c r="B233" s="2" t="str">
        <f>"杨洁"</f>
        <v>杨洁</v>
      </c>
      <c r="C233" s="2" t="str">
        <f>"女"</f>
        <v>女</v>
      </c>
      <c r="D233" s="2" t="s">
        <v>10</v>
      </c>
      <c r="E233" s="2" t="s">
        <v>9</v>
      </c>
      <c r="F233" s="2" t="str">
        <f t="shared" si="12"/>
        <v>E2024020</v>
      </c>
      <c r="G233" s="2" t="s">
        <v>304</v>
      </c>
      <c r="H233" s="6" t="s">
        <v>57</v>
      </c>
      <c r="I233" s="6" t="s">
        <v>55</v>
      </c>
      <c r="J233" s="15"/>
      <c r="K233" s="13"/>
      <c r="L233" s="3" t="s">
        <v>831</v>
      </c>
    </row>
    <row r="234" spans="1:12" ht="21.95" customHeight="1">
      <c r="A234" s="1">
        <v>232</v>
      </c>
      <c r="B234" s="2" t="str">
        <f>"敖苗"</f>
        <v>敖苗</v>
      </c>
      <c r="C234" s="2" t="str">
        <f>"女"</f>
        <v>女</v>
      </c>
      <c r="D234" s="2" t="s">
        <v>10</v>
      </c>
      <c r="E234" s="2" t="s">
        <v>9</v>
      </c>
      <c r="F234" s="2" t="str">
        <f t="shared" si="12"/>
        <v>E2024020</v>
      </c>
      <c r="G234" s="2" t="s">
        <v>305</v>
      </c>
      <c r="H234" s="6" t="s">
        <v>57</v>
      </c>
      <c r="I234" s="6" t="s">
        <v>30</v>
      </c>
      <c r="J234" s="15"/>
      <c r="K234" s="13"/>
      <c r="L234" s="3" t="s">
        <v>831</v>
      </c>
    </row>
    <row r="235" spans="1:12" ht="21.95" customHeight="1">
      <c r="A235" s="1">
        <v>233</v>
      </c>
      <c r="B235" s="2" t="str">
        <f>"高臣"</f>
        <v>高臣</v>
      </c>
      <c r="C235" s="2" t="str">
        <f>"女"</f>
        <v>女</v>
      </c>
      <c r="D235" s="2" t="s">
        <v>10</v>
      </c>
      <c r="E235" s="2" t="s">
        <v>9</v>
      </c>
      <c r="F235" s="2" t="str">
        <f t="shared" si="12"/>
        <v>E2024020</v>
      </c>
      <c r="G235" s="2" t="s">
        <v>307</v>
      </c>
      <c r="H235" s="6" t="s">
        <v>57</v>
      </c>
      <c r="I235" s="6" t="s">
        <v>32</v>
      </c>
      <c r="J235" s="15"/>
      <c r="K235" s="13"/>
      <c r="L235" s="3" t="s">
        <v>831</v>
      </c>
    </row>
    <row r="236" spans="1:12" ht="21.95" customHeight="1">
      <c r="A236" s="1">
        <v>234</v>
      </c>
      <c r="B236" s="2" t="str">
        <f>"郭妍麟"</f>
        <v>郭妍麟</v>
      </c>
      <c r="C236" s="2" t="str">
        <f>"女"</f>
        <v>女</v>
      </c>
      <c r="D236" s="2" t="s">
        <v>10</v>
      </c>
      <c r="E236" s="2" t="s">
        <v>9</v>
      </c>
      <c r="F236" s="2" t="str">
        <f t="shared" si="12"/>
        <v>E2024020</v>
      </c>
      <c r="G236" s="2" t="s">
        <v>308</v>
      </c>
      <c r="H236" s="6" t="s">
        <v>57</v>
      </c>
      <c r="I236" s="6" t="s">
        <v>57</v>
      </c>
      <c r="J236" s="15"/>
      <c r="K236" s="13"/>
      <c r="L236" s="3" t="s">
        <v>831</v>
      </c>
    </row>
    <row r="237" spans="1:12" ht="21.95" customHeight="1">
      <c r="A237" s="1">
        <v>235</v>
      </c>
      <c r="B237" s="2" t="str">
        <f>"向绍河"</f>
        <v>向绍河</v>
      </c>
      <c r="C237" s="2" t="str">
        <f>"男"</f>
        <v>男</v>
      </c>
      <c r="D237" s="2" t="s">
        <v>10</v>
      </c>
      <c r="E237" s="2" t="s">
        <v>9</v>
      </c>
      <c r="F237" s="2" t="str">
        <f t="shared" si="12"/>
        <v>E2024020</v>
      </c>
      <c r="G237" s="2" t="s">
        <v>309</v>
      </c>
      <c r="H237" s="6" t="s">
        <v>57</v>
      </c>
      <c r="I237" s="6" t="s">
        <v>34</v>
      </c>
      <c r="J237" s="15"/>
      <c r="K237" s="13"/>
      <c r="L237" s="3" t="s">
        <v>831</v>
      </c>
    </row>
    <row r="238" spans="1:12" ht="21.95" customHeight="1">
      <c r="A238" s="1">
        <v>236</v>
      </c>
      <c r="B238" s="2" t="str">
        <f>"程雪丽"</f>
        <v>程雪丽</v>
      </c>
      <c r="C238" s="2" t="str">
        <f>"女"</f>
        <v>女</v>
      </c>
      <c r="D238" s="2" t="s">
        <v>10</v>
      </c>
      <c r="E238" s="2" t="s">
        <v>9</v>
      </c>
      <c r="F238" s="2" t="str">
        <f t="shared" si="12"/>
        <v>E2024020</v>
      </c>
      <c r="G238" s="2" t="s">
        <v>311</v>
      </c>
      <c r="H238" s="6" t="s">
        <v>57</v>
      </c>
      <c r="I238" s="6" t="s">
        <v>36</v>
      </c>
      <c r="J238" s="15"/>
      <c r="K238" s="13"/>
      <c r="L238" s="3" t="s">
        <v>831</v>
      </c>
    </row>
    <row r="239" spans="1:12" ht="21.95" customHeight="1">
      <c r="A239" s="1">
        <v>237</v>
      </c>
      <c r="B239" s="2" t="str">
        <f>"李喆"</f>
        <v>李喆</v>
      </c>
      <c r="C239" s="2" t="str">
        <f>"男"</f>
        <v>男</v>
      </c>
      <c r="D239" s="2" t="s">
        <v>10</v>
      </c>
      <c r="E239" s="2" t="s">
        <v>9</v>
      </c>
      <c r="F239" s="2" t="str">
        <f t="shared" si="12"/>
        <v>E2024020</v>
      </c>
      <c r="G239" s="2" t="s">
        <v>313</v>
      </c>
      <c r="H239" s="6" t="s">
        <v>57</v>
      </c>
      <c r="I239" s="6" t="s">
        <v>38</v>
      </c>
      <c r="J239" s="15"/>
      <c r="K239" s="13"/>
      <c r="L239" s="3" t="s">
        <v>831</v>
      </c>
    </row>
    <row r="240" spans="1:12" ht="21.95" customHeight="1">
      <c r="A240" s="1">
        <v>238</v>
      </c>
      <c r="B240" s="2" t="str">
        <f>"谢军"</f>
        <v>谢军</v>
      </c>
      <c r="C240" s="2" t="str">
        <f>"男"</f>
        <v>男</v>
      </c>
      <c r="D240" s="2" t="s">
        <v>10</v>
      </c>
      <c r="E240" s="2" t="s">
        <v>9</v>
      </c>
      <c r="F240" s="2" t="str">
        <f t="shared" si="12"/>
        <v>E2024020</v>
      </c>
      <c r="G240" s="2" t="s">
        <v>315</v>
      </c>
      <c r="H240" s="6" t="s">
        <v>57</v>
      </c>
      <c r="I240" s="6" t="s">
        <v>40</v>
      </c>
      <c r="J240" s="15"/>
      <c r="K240" s="13"/>
      <c r="L240" s="3" t="s">
        <v>831</v>
      </c>
    </row>
    <row r="241" spans="1:12" ht="21.95" customHeight="1">
      <c r="A241" s="1">
        <v>239</v>
      </c>
      <c r="B241" s="2" t="str">
        <f>"颜露"</f>
        <v>颜露</v>
      </c>
      <c r="C241" s="2" t="str">
        <f>"女"</f>
        <v>女</v>
      </c>
      <c r="D241" s="2" t="s">
        <v>10</v>
      </c>
      <c r="E241" s="2" t="s">
        <v>9</v>
      </c>
      <c r="F241" s="2" t="str">
        <f t="shared" si="12"/>
        <v>E2024020</v>
      </c>
      <c r="G241" s="2" t="s">
        <v>316</v>
      </c>
      <c r="H241" s="6" t="s">
        <v>57</v>
      </c>
      <c r="I241" s="6" t="s">
        <v>61</v>
      </c>
      <c r="J241" s="15"/>
      <c r="K241" s="13"/>
      <c r="L241" s="3" t="s">
        <v>831</v>
      </c>
    </row>
    <row r="242" spans="1:12" ht="21.95" customHeight="1">
      <c r="A242" s="1">
        <v>240</v>
      </c>
      <c r="B242" s="2" t="str">
        <f>"伍小春"</f>
        <v>伍小春</v>
      </c>
      <c r="C242" s="2" t="str">
        <f>"女"</f>
        <v>女</v>
      </c>
      <c r="D242" s="2" t="s">
        <v>10</v>
      </c>
      <c r="E242" s="2" t="s">
        <v>9</v>
      </c>
      <c r="F242" s="2" t="str">
        <f t="shared" si="12"/>
        <v>E2024020</v>
      </c>
      <c r="G242" s="2" t="s">
        <v>317</v>
      </c>
      <c r="H242" s="6" t="s">
        <v>57</v>
      </c>
      <c r="I242" s="6" t="s">
        <v>42</v>
      </c>
      <c r="J242" s="15"/>
      <c r="K242" s="13"/>
      <c r="L242" s="3" t="s">
        <v>831</v>
      </c>
    </row>
    <row r="243" spans="1:12" ht="21.95" customHeight="1">
      <c r="A243" s="1">
        <v>241</v>
      </c>
      <c r="B243" s="2" t="str">
        <f>"陈谢丽"</f>
        <v>陈谢丽</v>
      </c>
      <c r="C243" s="2" t="str">
        <f>"女"</f>
        <v>女</v>
      </c>
      <c r="D243" s="2" t="s">
        <v>10</v>
      </c>
      <c r="E243" s="2" t="s">
        <v>9</v>
      </c>
      <c r="F243" s="2" t="str">
        <f t="shared" si="12"/>
        <v>E2024020</v>
      </c>
      <c r="G243" s="2" t="s">
        <v>322</v>
      </c>
      <c r="H243" s="6" t="s">
        <v>57</v>
      </c>
      <c r="I243" s="6" t="s">
        <v>64</v>
      </c>
      <c r="J243" s="15"/>
      <c r="K243" s="13"/>
      <c r="L243" s="3" t="s">
        <v>831</v>
      </c>
    </row>
    <row r="244" spans="1:12" ht="21.95" customHeight="1">
      <c r="A244" s="1">
        <v>242</v>
      </c>
      <c r="B244" s="2" t="str">
        <f>"陈祥举"</f>
        <v>陈祥举</v>
      </c>
      <c r="C244" s="2" t="str">
        <f>"男"</f>
        <v>男</v>
      </c>
      <c r="D244" s="2" t="s">
        <v>10</v>
      </c>
      <c r="E244" s="2" t="s">
        <v>9</v>
      </c>
      <c r="F244" s="2" t="str">
        <f t="shared" si="12"/>
        <v>E2024020</v>
      </c>
      <c r="G244" s="2" t="s">
        <v>323</v>
      </c>
      <c r="H244" s="6" t="s">
        <v>57</v>
      </c>
      <c r="I244" s="6" t="s">
        <v>48</v>
      </c>
      <c r="J244" s="15"/>
      <c r="K244" s="13"/>
      <c r="L244" s="3" t="s">
        <v>831</v>
      </c>
    </row>
    <row r="245" spans="1:12" ht="21.95" customHeight="1">
      <c r="A245" s="1">
        <v>243</v>
      </c>
      <c r="B245" s="2" t="str">
        <f>"游雪佳"</f>
        <v>游雪佳</v>
      </c>
      <c r="C245" s="2" t="str">
        <f>"女"</f>
        <v>女</v>
      </c>
      <c r="D245" s="2" t="s">
        <v>10</v>
      </c>
      <c r="E245" s="2" t="s">
        <v>9</v>
      </c>
      <c r="F245" s="2" t="str">
        <f t="shared" si="12"/>
        <v>E2024020</v>
      </c>
      <c r="G245" s="2" t="s">
        <v>324</v>
      </c>
      <c r="H245" s="6" t="s">
        <v>57</v>
      </c>
      <c r="I245" s="6" t="s">
        <v>65</v>
      </c>
      <c r="J245" s="15"/>
      <c r="K245" s="13"/>
      <c r="L245" s="3" t="s">
        <v>831</v>
      </c>
    </row>
    <row r="246" spans="1:12" ht="21.95" customHeight="1">
      <c r="A246" s="1">
        <v>244</v>
      </c>
      <c r="B246" s="2" t="str">
        <f>"肖卓"</f>
        <v>肖卓</v>
      </c>
      <c r="C246" s="2" t="str">
        <f>"女"</f>
        <v>女</v>
      </c>
      <c r="D246" s="2" t="s">
        <v>10</v>
      </c>
      <c r="E246" s="2" t="s">
        <v>9</v>
      </c>
      <c r="F246" s="2" t="str">
        <f t="shared" si="12"/>
        <v>E2024020</v>
      </c>
      <c r="G246" s="2" t="s">
        <v>326</v>
      </c>
      <c r="H246" s="6" t="s">
        <v>57</v>
      </c>
      <c r="I246" s="6" t="s">
        <v>66</v>
      </c>
      <c r="J246" s="15"/>
      <c r="K246" s="13"/>
      <c r="L246" s="3" t="s">
        <v>831</v>
      </c>
    </row>
    <row r="247" spans="1:12" ht="21.95" customHeight="1">
      <c r="A247" s="1">
        <v>245</v>
      </c>
      <c r="B247" s="2" t="str">
        <f>"黄辛卫"</f>
        <v>黄辛卫</v>
      </c>
      <c r="C247" s="2" t="str">
        <f>"男"</f>
        <v>男</v>
      </c>
      <c r="D247" s="2" t="s">
        <v>10</v>
      </c>
      <c r="E247" s="2" t="s">
        <v>9</v>
      </c>
      <c r="F247" s="2" t="str">
        <f t="shared" si="12"/>
        <v>E2024020</v>
      </c>
      <c r="G247" s="2" t="s">
        <v>328</v>
      </c>
      <c r="H247" s="6" t="s">
        <v>57</v>
      </c>
      <c r="I247" s="6" t="s">
        <v>67</v>
      </c>
      <c r="J247" s="15"/>
      <c r="K247" s="13"/>
      <c r="L247" s="3" t="s">
        <v>831</v>
      </c>
    </row>
    <row r="248" spans="1:12" ht="21.95" customHeight="1">
      <c r="A248" s="1">
        <v>246</v>
      </c>
      <c r="B248" s="2" t="str">
        <f>"柳婷婷"</f>
        <v>柳婷婷</v>
      </c>
      <c r="C248" s="2" t="str">
        <f>"女"</f>
        <v>女</v>
      </c>
      <c r="D248" s="2" t="s">
        <v>10</v>
      </c>
      <c r="E248" s="2" t="s">
        <v>9</v>
      </c>
      <c r="F248" s="2" t="str">
        <f t="shared" si="12"/>
        <v>E2024020</v>
      </c>
      <c r="G248" s="2" t="s">
        <v>329</v>
      </c>
      <c r="H248" s="6" t="s">
        <v>57</v>
      </c>
      <c r="I248" s="6" t="s">
        <v>71</v>
      </c>
      <c r="J248" s="15"/>
      <c r="K248" s="13"/>
      <c r="L248" s="3" t="s">
        <v>831</v>
      </c>
    </row>
    <row r="249" spans="1:12" ht="21.95" customHeight="1">
      <c r="A249" s="1">
        <v>247</v>
      </c>
      <c r="B249" s="2" t="str">
        <f>"张自强"</f>
        <v>张自强</v>
      </c>
      <c r="C249" s="2" t="str">
        <f>"男"</f>
        <v>男</v>
      </c>
      <c r="D249" s="2" t="s">
        <v>10</v>
      </c>
      <c r="E249" s="2" t="s">
        <v>9</v>
      </c>
      <c r="F249" s="2" t="str">
        <f t="shared" si="12"/>
        <v>E2024020</v>
      </c>
      <c r="G249" s="2" t="s">
        <v>330</v>
      </c>
      <c r="H249" s="6" t="s">
        <v>57</v>
      </c>
      <c r="I249" s="6" t="s">
        <v>72</v>
      </c>
      <c r="J249" s="15"/>
      <c r="K249" s="13"/>
      <c r="L249" s="3" t="s">
        <v>831</v>
      </c>
    </row>
    <row r="250" spans="1:12" ht="21.95" customHeight="1">
      <c r="A250" s="1">
        <v>248</v>
      </c>
      <c r="B250" s="2" t="str">
        <f>"黄潇"</f>
        <v>黄潇</v>
      </c>
      <c r="C250" s="2" t="str">
        <f>"男"</f>
        <v>男</v>
      </c>
      <c r="D250" s="2" t="s">
        <v>10</v>
      </c>
      <c r="E250" s="2" t="s">
        <v>9</v>
      </c>
      <c r="F250" s="2" t="str">
        <f t="shared" si="12"/>
        <v>E2024020</v>
      </c>
      <c r="G250" s="2" t="s">
        <v>331</v>
      </c>
      <c r="H250" s="6" t="s">
        <v>82</v>
      </c>
      <c r="I250" s="6" t="s">
        <v>26</v>
      </c>
      <c r="J250" s="15"/>
      <c r="K250" s="13"/>
      <c r="L250" s="3" t="s">
        <v>831</v>
      </c>
    </row>
    <row r="251" spans="1:12" ht="21.95" customHeight="1">
      <c r="A251" s="1">
        <v>249</v>
      </c>
      <c r="B251" s="2" t="str">
        <f>"龚文军"</f>
        <v>龚文军</v>
      </c>
      <c r="C251" s="2" t="str">
        <f>"男"</f>
        <v>男</v>
      </c>
      <c r="D251" s="2" t="s">
        <v>10</v>
      </c>
      <c r="E251" s="2" t="s">
        <v>9</v>
      </c>
      <c r="F251" s="2" t="str">
        <f t="shared" si="12"/>
        <v>E2024020</v>
      </c>
      <c r="G251" s="2" t="s">
        <v>332</v>
      </c>
      <c r="H251" s="6" t="s">
        <v>82</v>
      </c>
      <c r="I251" s="6" t="s">
        <v>54</v>
      </c>
      <c r="J251" s="15"/>
      <c r="K251" s="13"/>
      <c r="L251" s="3" t="s">
        <v>831</v>
      </c>
    </row>
    <row r="252" spans="1:12" ht="21.95" customHeight="1">
      <c r="A252" s="1">
        <v>250</v>
      </c>
      <c r="B252" s="2" t="str">
        <f>"胡逍"</f>
        <v>胡逍</v>
      </c>
      <c r="C252" s="2" t="str">
        <f>"女"</f>
        <v>女</v>
      </c>
      <c r="D252" s="2" t="s">
        <v>10</v>
      </c>
      <c r="E252" s="2" t="s">
        <v>9</v>
      </c>
      <c r="F252" s="2" t="str">
        <f t="shared" si="12"/>
        <v>E2024020</v>
      </c>
      <c r="G252" s="2" t="s">
        <v>333</v>
      </c>
      <c r="H252" s="6" t="s">
        <v>34</v>
      </c>
      <c r="I252" s="6" t="s">
        <v>28</v>
      </c>
      <c r="J252" s="15"/>
      <c r="K252" s="13"/>
      <c r="L252" s="3" t="s">
        <v>831</v>
      </c>
    </row>
    <row r="253" spans="1:12" ht="21.95" customHeight="1">
      <c r="A253" s="1">
        <v>251</v>
      </c>
      <c r="B253" s="2" t="str">
        <f>"彭新媛"</f>
        <v>彭新媛</v>
      </c>
      <c r="C253" s="2" t="str">
        <f>"女"</f>
        <v>女</v>
      </c>
      <c r="D253" s="2" t="s">
        <v>10</v>
      </c>
      <c r="E253" s="2" t="s">
        <v>9</v>
      </c>
      <c r="F253" s="2" t="str">
        <f t="shared" si="12"/>
        <v>E2024020</v>
      </c>
      <c r="G253" s="2" t="s">
        <v>334</v>
      </c>
      <c r="H253" s="6" t="s">
        <v>34</v>
      </c>
      <c r="I253" s="6" t="s">
        <v>55</v>
      </c>
      <c r="J253" s="15"/>
      <c r="K253" s="13"/>
      <c r="L253" s="3" t="s">
        <v>831</v>
      </c>
    </row>
    <row r="254" spans="1:12" ht="21.95" customHeight="1">
      <c r="A254" s="1">
        <v>252</v>
      </c>
      <c r="B254" s="2" t="str">
        <f>"舒维荣"</f>
        <v>舒维荣</v>
      </c>
      <c r="C254" s="2" t="str">
        <f>"男"</f>
        <v>男</v>
      </c>
      <c r="D254" s="2" t="s">
        <v>10</v>
      </c>
      <c r="E254" s="2" t="s">
        <v>9</v>
      </c>
      <c r="F254" s="2" t="str">
        <f t="shared" si="12"/>
        <v>E2024020</v>
      </c>
      <c r="G254" s="2" t="s">
        <v>337</v>
      </c>
      <c r="H254" s="6" t="s">
        <v>34</v>
      </c>
      <c r="I254" s="6" t="s">
        <v>32</v>
      </c>
      <c r="J254" s="15"/>
      <c r="K254" s="13"/>
      <c r="L254" s="3" t="s">
        <v>831</v>
      </c>
    </row>
    <row r="255" spans="1:12" ht="21.95" customHeight="1">
      <c r="A255" s="1">
        <v>253</v>
      </c>
      <c r="B255" s="2" t="str">
        <f>"田从兵"</f>
        <v>田从兵</v>
      </c>
      <c r="C255" s="2" t="str">
        <f>"男"</f>
        <v>男</v>
      </c>
      <c r="D255" s="2" t="s">
        <v>10</v>
      </c>
      <c r="E255" s="2" t="s">
        <v>9</v>
      </c>
      <c r="F255" s="2" t="str">
        <f t="shared" si="12"/>
        <v>E2024020</v>
      </c>
      <c r="G255" s="2" t="s">
        <v>338</v>
      </c>
      <c r="H255" s="6" t="s">
        <v>34</v>
      </c>
      <c r="I255" s="6" t="s">
        <v>57</v>
      </c>
      <c r="J255" s="15"/>
      <c r="K255" s="13"/>
      <c r="L255" s="3" t="s">
        <v>831</v>
      </c>
    </row>
    <row r="256" spans="1:12" ht="21.95" customHeight="1">
      <c r="A256" s="1">
        <v>254</v>
      </c>
      <c r="B256" s="2" t="str">
        <f>"王静"</f>
        <v>王静</v>
      </c>
      <c r="C256" s="2" t="str">
        <f>"女"</f>
        <v>女</v>
      </c>
      <c r="D256" s="2" t="s">
        <v>10</v>
      </c>
      <c r="E256" s="2" t="s">
        <v>9</v>
      </c>
      <c r="F256" s="2" t="str">
        <f t="shared" si="12"/>
        <v>E2024020</v>
      </c>
      <c r="G256" s="2" t="s">
        <v>339</v>
      </c>
      <c r="H256" s="6" t="s">
        <v>34</v>
      </c>
      <c r="I256" s="6" t="s">
        <v>34</v>
      </c>
      <c r="J256" s="15"/>
      <c r="K256" s="13"/>
      <c r="L256" s="3" t="s">
        <v>831</v>
      </c>
    </row>
    <row r="257" spans="1:12" ht="21.95" customHeight="1">
      <c r="A257" s="1">
        <v>255</v>
      </c>
      <c r="B257" s="2" t="str">
        <f>"刘巍"</f>
        <v>刘巍</v>
      </c>
      <c r="C257" s="2" t="str">
        <f>"男"</f>
        <v>男</v>
      </c>
      <c r="D257" s="2" t="s">
        <v>10</v>
      </c>
      <c r="E257" s="2" t="s">
        <v>9</v>
      </c>
      <c r="F257" s="2" t="str">
        <f t="shared" si="12"/>
        <v>E2024020</v>
      </c>
      <c r="G257" s="2" t="s">
        <v>341</v>
      </c>
      <c r="H257" s="6" t="s">
        <v>34</v>
      </c>
      <c r="I257" s="6" t="s">
        <v>36</v>
      </c>
      <c r="J257" s="15"/>
      <c r="K257" s="13"/>
      <c r="L257" s="3" t="s">
        <v>831</v>
      </c>
    </row>
    <row r="258" spans="1:12" ht="21.95" customHeight="1">
      <c r="A258" s="1">
        <v>256</v>
      </c>
      <c r="B258" s="2" t="str">
        <f>"胡明霞"</f>
        <v>胡明霞</v>
      </c>
      <c r="C258" s="2" t="str">
        <f>"女"</f>
        <v>女</v>
      </c>
      <c r="D258" s="2" t="s">
        <v>10</v>
      </c>
      <c r="E258" s="2" t="s">
        <v>9</v>
      </c>
      <c r="F258" s="2" t="str">
        <f t="shared" si="12"/>
        <v>E2024020</v>
      </c>
      <c r="G258" s="2" t="s">
        <v>342</v>
      </c>
      <c r="H258" s="6" t="s">
        <v>34</v>
      </c>
      <c r="I258" s="6" t="s">
        <v>59</v>
      </c>
      <c r="J258" s="15"/>
      <c r="K258" s="13"/>
      <c r="L258" s="3" t="s">
        <v>831</v>
      </c>
    </row>
    <row r="259" spans="1:12" ht="21.95" customHeight="1">
      <c r="A259" s="1">
        <v>257</v>
      </c>
      <c r="B259" s="2" t="str">
        <f>"李沿胜"</f>
        <v>李沿胜</v>
      </c>
      <c r="C259" s="2" t="str">
        <f>"女"</f>
        <v>女</v>
      </c>
      <c r="D259" s="2" t="s">
        <v>10</v>
      </c>
      <c r="E259" s="2" t="s">
        <v>9</v>
      </c>
      <c r="F259" s="2" t="str">
        <f t="shared" si="12"/>
        <v>E2024020</v>
      </c>
      <c r="G259" s="2" t="s">
        <v>343</v>
      </c>
      <c r="H259" s="6" t="s">
        <v>34</v>
      </c>
      <c r="I259" s="6" t="s">
        <v>38</v>
      </c>
      <c r="J259" s="15"/>
      <c r="K259" s="13"/>
      <c r="L259" s="3" t="s">
        <v>831</v>
      </c>
    </row>
    <row r="260" spans="1:12" ht="21.95" customHeight="1">
      <c r="A260" s="1">
        <v>258</v>
      </c>
      <c r="B260" s="2" t="str">
        <f>"王谧谧"</f>
        <v>王谧谧</v>
      </c>
      <c r="C260" s="2" t="str">
        <f>"女"</f>
        <v>女</v>
      </c>
      <c r="D260" s="2" t="s">
        <v>10</v>
      </c>
      <c r="E260" s="2" t="s">
        <v>9</v>
      </c>
      <c r="F260" s="2" t="str">
        <f t="shared" si="12"/>
        <v>E2024020</v>
      </c>
      <c r="G260" s="2" t="s">
        <v>345</v>
      </c>
      <c r="H260" s="6" t="s">
        <v>34</v>
      </c>
      <c r="I260" s="6" t="s">
        <v>40</v>
      </c>
      <c r="J260" s="15"/>
      <c r="K260" s="13"/>
      <c r="L260" s="3" t="s">
        <v>831</v>
      </c>
    </row>
    <row r="261" spans="1:12" ht="21.95" customHeight="1">
      <c r="A261" s="1">
        <v>259</v>
      </c>
      <c r="B261" s="2" t="str">
        <f>"王玺皓"</f>
        <v>王玺皓</v>
      </c>
      <c r="C261" s="2" t="str">
        <f>"男"</f>
        <v>男</v>
      </c>
      <c r="D261" s="2" t="s">
        <v>10</v>
      </c>
      <c r="E261" s="2" t="s">
        <v>9</v>
      </c>
      <c r="F261" s="2" t="str">
        <f t="shared" si="12"/>
        <v>E2024020</v>
      </c>
      <c r="G261" s="2" t="s">
        <v>346</v>
      </c>
      <c r="H261" s="6" t="s">
        <v>34</v>
      </c>
      <c r="I261" s="6" t="s">
        <v>61</v>
      </c>
      <c r="J261" s="15"/>
      <c r="K261" s="13"/>
      <c r="L261" s="3" t="s">
        <v>831</v>
      </c>
    </row>
    <row r="262" spans="1:12" ht="21.95" customHeight="1">
      <c r="A262" s="1">
        <v>260</v>
      </c>
      <c r="B262" s="2" t="str">
        <f>"李品艳"</f>
        <v>李品艳</v>
      </c>
      <c r="C262" s="2" t="str">
        <f>"女"</f>
        <v>女</v>
      </c>
      <c r="D262" s="2" t="s">
        <v>10</v>
      </c>
      <c r="E262" s="2" t="s">
        <v>9</v>
      </c>
      <c r="F262" s="2" t="str">
        <f t="shared" si="12"/>
        <v>E2024020</v>
      </c>
      <c r="G262" s="2" t="s">
        <v>348</v>
      </c>
      <c r="H262" s="6" t="s">
        <v>34</v>
      </c>
      <c r="I262" s="6" t="s">
        <v>62</v>
      </c>
      <c r="J262" s="15"/>
      <c r="K262" s="13"/>
      <c r="L262" s="3" t="s">
        <v>831</v>
      </c>
    </row>
    <row r="263" spans="1:12" ht="21.95" customHeight="1">
      <c r="A263" s="1">
        <v>261</v>
      </c>
      <c r="B263" s="2" t="str">
        <f>"曾号喻"</f>
        <v>曾号喻</v>
      </c>
      <c r="C263" s="2" t="str">
        <f>"女"</f>
        <v>女</v>
      </c>
      <c r="D263" s="2" t="s">
        <v>10</v>
      </c>
      <c r="E263" s="2" t="s">
        <v>9</v>
      </c>
      <c r="F263" s="2" t="str">
        <f t="shared" si="12"/>
        <v>E2024020</v>
      </c>
      <c r="G263" s="2" t="s">
        <v>352</v>
      </c>
      <c r="H263" s="6" t="s">
        <v>34</v>
      </c>
      <c r="I263" s="6" t="s">
        <v>64</v>
      </c>
      <c r="J263" s="15"/>
      <c r="K263" s="13"/>
      <c r="L263" s="3" t="s">
        <v>831</v>
      </c>
    </row>
    <row r="264" spans="1:12" ht="21.95" customHeight="1">
      <c r="A264" s="1">
        <v>262</v>
      </c>
      <c r="B264" s="2" t="str">
        <f>"邓玲俐"</f>
        <v>邓玲俐</v>
      </c>
      <c r="C264" s="2" t="str">
        <f>"女"</f>
        <v>女</v>
      </c>
      <c r="D264" s="2" t="s">
        <v>10</v>
      </c>
      <c r="E264" s="2" t="s">
        <v>9</v>
      </c>
      <c r="F264" s="2" t="str">
        <f t="shared" si="12"/>
        <v>E2024020</v>
      </c>
      <c r="G264" s="2" t="s">
        <v>353</v>
      </c>
      <c r="H264" s="6" t="s">
        <v>34</v>
      </c>
      <c r="I264" s="6" t="s">
        <v>48</v>
      </c>
      <c r="J264" s="15"/>
      <c r="K264" s="13"/>
      <c r="L264" s="3" t="s">
        <v>831</v>
      </c>
    </row>
    <row r="265" spans="1:12" ht="21.95" customHeight="1">
      <c r="A265" s="1">
        <v>263</v>
      </c>
      <c r="B265" s="2" t="str">
        <f>"李録明"</f>
        <v>李録明</v>
      </c>
      <c r="C265" s="2" t="str">
        <f>"男"</f>
        <v>男</v>
      </c>
      <c r="D265" s="2" t="s">
        <v>10</v>
      </c>
      <c r="E265" s="2" t="s">
        <v>9</v>
      </c>
      <c r="F265" s="2" t="str">
        <f t="shared" si="12"/>
        <v>E2024020</v>
      </c>
      <c r="G265" s="2" t="s">
        <v>354</v>
      </c>
      <c r="H265" s="6" t="s">
        <v>34</v>
      </c>
      <c r="I265" s="6" t="s">
        <v>65</v>
      </c>
      <c r="J265" s="15"/>
      <c r="K265" s="13"/>
      <c r="L265" s="3" t="s">
        <v>831</v>
      </c>
    </row>
    <row r="266" spans="1:12" ht="21.95" customHeight="1">
      <c r="A266" s="1">
        <v>264</v>
      </c>
      <c r="B266" s="2" t="str">
        <f>"张涵"</f>
        <v>张涵</v>
      </c>
      <c r="C266" s="2" t="str">
        <f>"女"</f>
        <v>女</v>
      </c>
      <c r="D266" s="2" t="s">
        <v>10</v>
      </c>
      <c r="E266" s="2" t="s">
        <v>9</v>
      </c>
      <c r="F266" s="2" t="str">
        <f t="shared" si="12"/>
        <v>E2024020</v>
      </c>
      <c r="G266" s="2" t="s">
        <v>356</v>
      </c>
      <c r="H266" s="6" t="s">
        <v>34</v>
      </c>
      <c r="I266" s="6" t="s">
        <v>66</v>
      </c>
      <c r="J266" s="15"/>
      <c r="K266" s="13"/>
      <c r="L266" s="3" t="s">
        <v>831</v>
      </c>
    </row>
    <row r="267" spans="1:12" ht="21.95" customHeight="1">
      <c r="A267" s="1">
        <v>265</v>
      </c>
      <c r="B267" s="2" t="str">
        <f>"杨霞"</f>
        <v>杨霞</v>
      </c>
      <c r="C267" s="2" t="str">
        <f>"女"</f>
        <v>女</v>
      </c>
      <c r="D267" s="2" t="s">
        <v>10</v>
      </c>
      <c r="E267" s="2" t="s">
        <v>9</v>
      </c>
      <c r="F267" s="2" t="str">
        <f t="shared" si="12"/>
        <v>E2024020</v>
      </c>
      <c r="G267" s="2" t="s">
        <v>359</v>
      </c>
      <c r="H267" s="6" t="s">
        <v>34</v>
      </c>
      <c r="I267" s="6" t="s">
        <v>71</v>
      </c>
      <c r="J267" s="15"/>
      <c r="K267" s="13"/>
      <c r="L267" s="3" t="s">
        <v>831</v>
      </c>
    </row>
    <row r="268" spans="1:12" ht="21.95" customHeight="1">
      <c r="A268" s="1">
        <v>266</v>
      </c>
      <c r="B268" s="2" t="str">
        <f>"方倩"</f>
        <v>方倩</v>
      </c>
      <c r="C268" s="2" t="str">
        <f>"女"</f>
        <v>女</v>
      </c>
      <c r="D268" s="2" t="s">
        <v>10</v>
      </c>
      <c r="E268" s="2" t="s">
        <v>9</v>
      </c>
      <c r="F268" s="2" t="str">
        <f t="shared" si="12"/>
        <v>E2024020</v>
      </c>
      <c r="G268" s="2" t="s">
        <v>360</v>
      </c>
      <c r="H268" s="6" t="s">
        <v>34</v>
      </c>
      <c r="I268" s="6" t="s">
        <v>72</v>
      </c>
      <c r="J268" s="15"/>
      <c r="K268" s="13"/>
      <c r="L268" s="3" t="s">
        <v>831</v>
      </c>
    </row>
    <row r="269" spans="1:12" ht="21.95" customHeight="1">
      <c r="A269" s="1">
        <v>267</v>
      </c>
      <c r="B269" s="2" t="str">
        <f>"蒋季"</f>
        <v>蒋季</v>
      </c>
      <c r="C269" s="2" t="str">
        <f>"男"</f>
        <v>男</v>
      </c>
      <c r="D269" s="2" t="s">
        <v>10</v>
      </c>
      <c r="E269" s="2" t="s">
        <v>9</v>
      </c>
      <c r="F269" s="2" t="str">
        <f t="shared" si="12"/>
        <v>E2024020</v>
      </c>
      <c r="G269" s="2" t="s">
        <v>362</v>
      </c>
      <c r="H269" s="6" t="s">
        <v>84</v>
      </c>
      <c r="I269" s="6" t="s">
        <v>54</v>
      </c>
      <c r="J269" s="15"/>
      <c r="K269" s="13"/>
      <c r="L269" s="3" t="s">
        <v>831</v>
      </c>
    </row>
    <row r="270" spans="1:12" ht="21.95" customHeight="1">
      <c r="A270" s="1">
        <v>268</v>
      </c>
      <c r="B270" s="2" t="str">
        <f>"陈鑫"</f>
        <v>陈鑫</v>
      </c>
      <c r="C270" s="2" t="str">
        <f>"男"</f>
        <v>男</v>
      </c>
      <c r="D270" s="2" t="s">
        <v>10</v>
      </c>
      <c r="E270" s="2" t="s">
        <v>9</v>
      </c>
      <c r="F270" s="2" t="str">
        <f t="shared" si="12"/>
        <v>E2024020</v>
      </c>
      <c r="G270" s="2" t="s">
        <v>364</v>
      </c>
      <c r="H270" s="6" t="s">
        <v>58</v>
      </c>
      <c r="I270" s="6" t="s">
        <v>55</v>
      </c>
      <c r="J270" s="15"/>
      <c r="K270" s="13"/>
      <c r="L270" s="3" t="s">
        <v>831</v>
      </c>
    </row>
    <row r="271" spans="1:12" ht="21.95" customHeight="1">
      <c r="A271" s="1">
        <v>269</v>
      </c>
      <c r="B271" s="2" t="str">
        <f>"易淼邈"</f>
        <v>易淼邈</v>
      </c>
      <c r="C271" s="2" t="str">
        <f>"女"</f>
        <v>女</v>
      </c>
      <c r="D271" s="2" t="s">
        <v>10</v>
      </c>
      <c r="E271" s="2" t="s">
        <v>9</v>
      </c>
      <c r="F271" s="2" t="str">
        <f t="shared" si="12"/>
        <v>E2024020</v>
      </c>
      <c r="G271" s="2" t="s">
        <v>366</v>
      </c>
      <c r="H271" s="6" t="s">
        <v>58</v>
      </c>
      <c r="I271" s="6" t="s">
        <v>56</v>
      </c>
      <c r="J271" s="15"/>
      <c r="K271" s="13"/>
      <c r="L271" s="3" t="s">
        <v>831</v>
      </c>
    </row>
    <row r="272" spans="1:12" ht="21.95" customHeight="1">
      <c r="A272" s="1">
        <v>270</v>
      </c>
      <c r="B272" s="2" t="str">
        <f>"马靖雨"</f>
        <v>马靖雨</v>
      </c>
      <c r="C272" s="2" t="str">
        <f>"女"</f>
        <v>女</v>
      </c>
      <c r="D272" s="2" t="s">
        <v>10</v>
      </c>
      <c r="E272" s="2" t="s">
        <v>9</v>
      </c>
      <c r="F272" s="2" t="str">
        <f t="shared" si="12"/>
        <v>E2024020</v>
      </c>
      <c r="G272" s="2" t="s">
        <v>367</v>
      </c>
      <c r="H272" s="6" t="s">
        <v>35</v>
      </c>
      <c r="I272" s="6" t="s">
        <v>32</v>
      </c>
      <c r="J272" s="15"/>
      <c r="K272" s="13"/>
      <c r="L272" s="3" t="s">
        <v>831</v>
      </c>
    </row>
    <row r="273" spans="1:12" ht="21.95" customHeight="1">
      <c r="A273" s="1">
        <v>271</v>
      </c>
      <c r="B273" s="2" t="str">
        <f>"谢良莹"</f>
        <v>谢良莹</v>
      </c>
      <c r="C273" s="2" t="str">
        <f>"女"</f>
        <v>女</v>
      </c>
      <c r="D273" s="2" t="s">
        <v>10</v>
      </c>
      <c r="E273" s="2" t="s">
        <v>9</v>
      </c>
      <c r="F273" s="2" t="str">
        <f t="shared" si="12"/>
        <v>E2024020</v>
      </c>
      <c r="G273" s="2" t="s">
        <v>368</v>
      </c>
      <c r="H273" s="6" t="s">
        <v>58</v>
      </c>
      <c r="I273" s="6" t="s">
        <v>57</v>
      </c>
      <c r="J273" s="15"/>
      <c r="K273" s="13"/>
      <c r="L273" s="3" t="s">
        <v>831</v>
      </c>
    </row>
    <row r="274" spans="1:12" ht="21.95" customHeight="1">
      <c r="A274" s="1">
        <v>272</v>
      </c>
      <c r="B274" s="2" t="str">
        <f>"何磊"</f>
        <v>何磊</v>
      </c>
      <c r="C274" s="2" t="str">
        <f>"男"</f>
        <v>男</v>
      </c>
      <c r="D274" s="2" t="s">
        <v>10</v>
      </c>
      <c r="E274" s="2" t="s">
        <v>9</v>
      </c>
      <c r="F274" s="2" t="str">
        <f t="shared" si="12"/>
        <v>E2024020</v>
      </c>
      <c r="G274" s="2" t="s">
        <v>369</v>
      </c>
      <c r="H274" s="6" t="s">
        <v>35</v>
      </c>
      <c r="I274" s="6" t="s">
        <v>34</v>
      </c>
      <c r="J274" s="15"/>
      <c r="K274" s="13"/>
      <c r="L274" s="3" t="s">
        <v>831</v>
      </c>
    </row>
    <row r="275" spans="1:12" ht="21.95" customHeight="1">
      <c r="A275" s="1">
        <v>273</v>
      </c>
      <c r="B275" s="2" t="str">
        <f>"李再福"</f>
        <v>李再福</v>
      </c>
      <c r="C275" s="2" t="str">
        <f>"男"</f>
        <v>男</v>
      </c>
      <c r="D275" s="2" t="s">
        <v>10</v>
      </c>
      <c r="E275" s="2" t="s">
        <v>9</v>
      </c>
      <c r="F275" s="2" t="str">
        <f t="shared" si="12"/>
        <v>E2024020</v>
      </c>
      <c r="G275" s="2" t="s">
        <v>371</v>
      </c>
      <c r="H275" s="6" t="s">
        <v>35</v>
      </c>
      <c r="I275" s="6" t="s">
        <v>36</v>
      </c>
      <c r="J275" s="15"/>
      <c r="K275" s="13"/>
      <c r="L275" s="3" t="s">
        <v>831</v>
      </c>
    </row>
    <row r="276" spans="1:12" ht="21.95" customHeight="1">
      <c r="A276" s="1">
        <v>274</v>
      </c>
      <c r="B276" s="2" t="str">
        <f>"李秋兰"</f>
        <v>李秋兰</v>
      </c>
      <c r="C276" s="2" t="str">
        <f>"女"</f>
        <v>女</v>
      </c>
      <c r="D276" s="2" t="s">
        <v>10</v>
      </c>
      <c r="E276" s="2" t="s">
        <v>9</v>
      </c>
      <c r="F276" s="2" t="str">
        <f t="shared" si="12"/>
        <v>E2024020</v>
      </c>
      <c r="G276" s="2" t="s">
        <v>372</v>
      </c>
      <c r="H276" s="6" t="s">
        <v>58</v>
      </c>
      <c r="I276" s="6" t="s">
        <v>59</v>
      </c>
      <c r="J276" s="15"/>
      <c r="K276" s="13"/>
      <c r="L276" s="3" t="s">
        <v>831</v>
      </c>
    </row>
    <row r="277" spans="1:12" ht="21.95" customHeight="1">
      <c r="A277" s="1">
        <v>275</v>
      </c>
      <c r="B277" s="2" t="str">
        <f>"程莉萍"</f>
        <v>程莉萍</v>
      </c>
      <c r="C277" s="2" t="str">
        <f>"女"</f>
        <v>女</v>
      </c>
      <c r="D277" s="2" t="s">
        <v>10</v>
      </c>
      <c r="E277" s="2" t="s">
        <v>9</v>
      </c>
      <c r="F277" s="2" t="str">
        <f t="shared" si="12"/>
        <v>E2024020</v>
      </c>
      <c r="G277" s="2" t="s">
        <v>374</v>
      </c>
      <c r="H277" s="6" t="s">
        <v>58</v>
      </c>
      <c r="I277" s="6" t="s">
        <v>60</v>
      </c>
      <c r="J277" s="15"/>
      <c r="K277" s="13"/>
      <c r="L277" s="3" t="s">
        <v>831</v>
      </c>
    </row>
    <row r="278" spans="1:12" ht="21.95" customHeight="1">
      <c r="A278" s="1">
        <v>276</v>
      </c>
      <c r="B278" s="2" t="str">
        <f>"张林丰"</f>
        <v>张林丰</v>
      </c>
      <c r="C278" s="2" t="str">
        <f>"男"</f>
        <v>男</v>
      </c>
      <c r="D278" s="2" t="s">
        <v>10</v>
      </c>
      <c r="E278" s="2" t="s">
        <v>9</v>
      </c>
      <c r="F278" s="2" t="str">
        <f t="shared" ref="F278:F341" si="13">"E2024020"</f>
        <v>E2024020</v>
      </c>
      <c r="G278" s="2" t="s">
        <v>375</v>
      </c>
      <c r="H278" s="6" t="s">
        <v>35</v>
      </c>
      <c r="I278" s="6" t="s">
        <v>40</v>
      </c>
      <c r="J278" s="15"/>
      <c r="K278" s="13"/>
      <c r="L278" s="3" t="s">
        <v>831</v>
      </c>
    </row>
    <row r="279" spans="1:12" ht="21.95" customHeight="1">
      <c r="A279" s="1">
        <v>277</v>
      </c>
      <c r="B279" s="2" t="str">
        <f>"刘守晖"</f>
        <v>刘守晖</v>
      </c>
      <c r="C279" s="2" t="str">
        <f>"男"</f>
        <v>男</v>
      </c>
      <c r="D279" s="2" t="s">
        <v>10</v>
      </c>
      <c r="E279" s="2" t="s">
        <v>9</v>
      </c>
      <c r="F279" s="2" t="str">
        <f t="shared" si="13"/>
        <v>E2024020</v>
      </c>
      <c r="G279" s="2" t="s">
        <v>381</v>
      </c>
      <c r="H279" s="6" t="s">
        <v>35</v>
      </c>
      <c r="I279" s="6" t="s">
        <v>46</v>
      </c>
      <c r="J279" s="15"/>
      <c r="K279" s="13"/>
      <c r="L279" s="3" t="s">
        <v>831</v>
      </c>
    </row>
    <row r="280" spans="1:12" ht="21.95" customHeight="1">
      <c r="A280" s="1">
        <v>278</v>
      </c>
      <c r="B280" s="2" t="str">
        <f>"郑涛"</f>
        <v>郑涛</v>
      </c>
      <c r="C280" s="2" t="str">
        <f>"男"</f>
        <v>男</v>
      </c>
      <c r="D280" s="2" t="s">
        <v>10</v>
      </c>
      <c r="E280" s="2" t="s">
        <v>9</v>
      </c>
      <c r="F280" s="2" t="str">
        <f t="shared" si="13"/>
        <v>E2024020</v>
      </c>
      <c r="G280" s="2" t="s">
        <v>383</v>
      </c>
      <c r="H280" s="6" t="s">
        <v>35</v>
      </c>
      <c r="I280" s="6" t="s">
        <v>48</v>
      </c>
      <c r="J280" s="15"/>
      <c r="K280" s="13"/>
      <c r="L280" s="3" t="s">
        <v>831</v>
      </c>
    </row>
    <row r="281" spans="1:12" ht="21.95" customHeight="1">
      <c r="A281" s="1">
        <v>279</v>
      </c>
      <c r="B281" s="2" t="str">
        <f>"向雪娇"</f>
        <v>向雪娇</v>
      </c>
      <c r="C281" s="2" t="str">
        <f>"女"</f>
        <v>女</v>
      </c>
      <c r="D281" s="2" t="s">
        <v>10</v>
      </c>
      <c r="E281" s="2" t="s">
        <v>9</v>
      </c>
      <c r="F281" s="2" t="str">
        <f t="shared" si="13"/>
        <v>E2024020</v>
      </c>
      <c r="G281" s="2" t="s">
        <v>388</v>
      </c>
      <c r="H281" s="6" t="s">
        <v>58</v>
      </c>
      <c r="I281" s="6" t="s">
        <v>67</v>
      </c>
      <c r="J281" s="15"/>
      <c r="K281" s="13"/>
      <c r="L281" s="3" t="s">
        <v>831</v>
      </c>
    </row>
    <row r="282" spans="1:12" ht="21.95" customHeight="1">
      <c r="A282" s="1">
        <v>280</v>
      </c>
      <c r="B282" s="2" t="str">
        <f>"张红琴"</f>
        <v>张红琴</v>
      </c>
      <c r="C282" s="2" t="str">
        <f>"女"</f>
        <v>女</v>
      </c>
      <c r="D282" s="2" t="s">
        <v>10</v>
      </c>
      <c r="E282" s="2" t="s">
        <v>9</v>
      </c>
      <c r="F282" s="2" t="str">
        <f t="shared" si="13"/>
        <v>E2024020</v>
      </c>
      <c r="G282" s="2" t="s">
        <v>389</v>
      </c>
      <c r="H282" s="6" t="s">
        <v>35</v>
      </c>
      <c r="I282" s="6" t="s">
        <v>71</v>
      </c>
      <c r="J282" s="15"/>
      <c r="K282" s="13"/>
      <c r="L282" s="3" t="s">
        <v>831</v>
      </c>
    </row>
    <row r="283" spans="1:12" ht="21.95" customHeight="1">
      <c r="A283" s="1">
        <v>281</v>
      </c>
      <c r="B283" s="2" t="str">
        <f>"谭苗苗"</f>
        <v>谭苗苗</v>
      </c>
      <c r="C283" s="2" t="str">
        <f>"女"</f>
        <v>女</v>
      </c>
      <c r="D283" s="2" t="s">
        <v>10</v>
      </c>
      <c r="E283" s="2" t="s">
        <v>9</v>
      </c>
      <c r="F283" s="2" t="str">
        <f t="shared" si="13"/>
        <v>E2024020</v>
      </c>
      <c r="G283" s="2" t="s">
        <v>391</v>
      </c>
      <c r="H283" s="6" t="s">
        <v>85</v>
      </c>
      <c r="I283" s="6" t="s">
        <v>26</v>
      </c>
      <c r="J283" s="15"/>
      <c r="K283" s="13"/>
      <c r="L283" s="3" t="s">
        <v>831</v>
      </c>
    </row>
    <row r="284" spans="1:12" ht="21.95" customHeight="1">
      <c r="A284" s="1">
        <v>282</v>
      </c>
      <c r="B284" s="2" t="str">
        <f>"姚智"</f>
        <v>姚智</v>
      </c>
      <c r="C284" s="2" t="str">
        <f>"男"</f>
        <v>男</v>
      </c>
      <c r="D284" s="2" t="s">
        <v>10</v>
      </c>
      <c r="E284" s="2" t="s">
        <v>9</v>
      </c>
      <c r="F284" s="2" t="str">
        <f t="shared" si="13"/>
        <v>E2024020</v>
      </c>
      <c r="G284" s="2" t="s">
        <v>393</v>
      </c>
      <c r="H284" s="6" t="s">
        <v>36</v>
      </c>
      <c r="I284" s="6" t="s">
        <v>28</v>
      </c>
      <c r="J284" s="15"/>
      <c r="K284" s="13"/>
      <c r="L284" s="3" t="s">
        <v>831</v>
      </c>
    </row>
    <row r="285" spans="1:12" ht="21.95" customHeight="1">
      <c r="A285" s="1">
        <v>283</v>
      </c>
      <c r="B285" s="2" t="str">
        <f>"魏继红"</f>
        <v>魏继红</v>
      </c>
      <c r="C285" s="2" t="str">
        <f>"女"</f>
        <v>女</v>
      </c>
      <c r="D285" s="2" t="s">
        <v>10</v>
      </c>
      <c r="E285" s="2" t="s">
        <v>9</v>
      </c>
      <c r="F285" s="2" t="str">
        <f t="shared" si="13"/>
        <v>E2024020</v>
      </c>
      <c r="G285" s="2" t="s">
        <v>398</v>
      </c>
      <c r="H285" s="6" t="s">
        <v>36</v>
      </c>
      <c r="I285" s="6" t="s">
        <v>57</v>
      </c>
      <c r="J285" s="15"/>
      <c r="K285" s="13"/>
      <c r="L285" s="3" t="s">
        <v>831</v>
      </c>
    </row>
    <row r="286" spans="1:12" ht="21.95" customHeight="1">
      <c r="A286" s="1">
        <v>284</v>
      </c>
      <c r="B286" s="2" t="str">
        <f>"秦国祥"</f>
        <v>秦国祥</v>
      </c>
      <c r="C286" s="2" t="str">
        <f>"男"</f>
        <v>男</v>
      </c>
      <c r="D286" s="2" t="s">
        <v>10</v>
      </c>
      <c r="E286" s="2" t="s">
        <v>9</v>
      </c>
      <c r="F286" s="2" t="str">
        <f t="shared" si="13"/>
        <v>E2024020</v>
      </c>
      <c r="G286" s="2" t="s">
        <v>399</v>
      </c>
      <c r="H286" s="6" t="s">
        <v>36</v>
      </c>
      <c r="I286" s="6" t="s">
        <v>34</v>
      </c>
      <c r="J286" s="15"/>
      <c r="K286" s="13"/>
      <c r="L286" s="3" t="s">
        <v>831</v>
      </c>
    </row>
    <row r="287" spans="1:12" ht="21.95" customHeight="1">
      <c r="A287" s="1">
        <v>285</v>
      </c>
      <c r="B287" s="2" t="str">
        <f>"向彩云"</f>
        <v>向彩云</v>
      </c>
      <c r="C287" s="2" t="str">
        <f>"女"</f>
        <v>女</v>
      </c>
      <c r="D287" s="2" t="s">
        <v>10</v>
      </c>
      <c r="E287" s="2" t="s">
        <v>9</v>
      </c>
      <c r="F287" s="2" t="str">
        <f t="shared" si="13"/>
        <v>E2024020</v>
      </c>
      <c r="G287" s="2" t="s">
        <v>400</v>
      </c>
      <c r="H287" s="6" t="s">
        <v>36</v>
      </c>
      <c r="I287" s="6" t="s">
        <v>58</v>
      </c>
      <c r="J287" s="15"/>
      <c r="K287" s="13"/>
      <c r="L287" s="3" t="s">
        <v>831</v>
      </c>
    </row>
    <row r="288" spans="1:12" ht="21.95" customHeight="1">
      <c r="A288" s="1">
        <v>286</v>
      </c>
      <c r="B288" s="2" t="str">
        <f>"周城"</f>
        <v>周城</v>
      </c>
      <c r="C288" s="2" t="str">
        <f>"女"</f>
        <v>女</v>
      </c>
      <c r="D288" s="2" t="s">
        <v>10</v>
      </c>
      <c r="E288" s="2" t="s">
        <v>9</v>
      </c>
      <c r="F288" s="2" t="str">
        <f t="shared" si="13"/>
        <v>E2024020</v>
      </c>
      <c r="G288" s="2" t="s">
        <v>401</v>
      </c>
      <c r="H288" s="6" t="s">
        <v>36</v>
      </c>
      <c r="I288" s="6" t="s">
        <v>36</v>
      </c>
      <c r="J288" s="15"/>
      <c r="K288" s="13"/>
      <c r="L288" s="3" t="s">
        <v>831</v>
      </c>
    </row>
    <row r="289" spans="1:12" ht="21.95" customHeight="1">
      <c r="A289" s="1">
        <v>287</v>
      </c>
      <c r="B289" s="2" t="str">
        <f>"黄垚"</f>
        <v>黄垚</v>
      </c>
      <c r="C289" s="2" t="str">
        <f>"女"</f>
        <v>女</v>
      </c>
      <c r="D289" s="2" t="s">
        <v>10</v>
      </c>
      <c r="E289" s="2" t="s">
        <v>9</v>
      </c>
      <c r="F289" s="2" t="str">
        <f t="shared" si="13"/>
        <v>E2024020</v>
      </c>
      <c r="G289" s="2" t="s">
        <v>402</v>
      </c>
      <c r="H289" s="6" t="s">
        <v>36</v>
      </c>
      <c r="I289" s="6" t="s">
        <v>59</v>
      </c>
      <c r="J289" s="15"/>
      <c r="K289" s="13"/>
      <c r="L289" s="3" t="s">
        <v>831</v>
      </c>
    </row>
    <row r="290" spans="1:12" ht="21.95" customHeight="1">
      <c r="A290" s="1">
        <v>288</v>
      </c>
      <c r="B290" s="2" t="str">
        <f>"陆中华"</f>
        <v>陆中华</v>
      </c>
      <c r="C290" s="2" t="str">
        <f>"男"</f>
        <v>男</v>
      </c>
      <c r="D290" s="2" t="s">
        <v>10</v>
      </c>
      <c r="E290" s="2" t="s">
        <v>9</v>
      </c>
      <c r="F290" s="2" t="str">
        <f t="shared" si="13"/>
        <v>E2024020</v>
      </c>
      <c r="G290" s="2" t="s">
        <v>404</v>
      </c>
      <c r="H290" s="6" t="s">
        <v>36</v>
      </c>
      <c r="I290" s="6" t="s">
        <v>60</v>
      </c>
      <c r="J290" s="15"/>
      <c r="K290" s="13"/>
      <c r="L290" s="3" t="s">
        <v>831</v>
      </c>
    </row>
    <row r="291" spans="1:12" ht="21.95" customHeight="1">
      <c r="A291" s="1">
        <v>289</v>
      </c>
      <c r="B291" s="2" t="str">
        <f>"李煜琦"</f>
        <v>李煜琦</v>
      </c>
      <c r="C291" s="2" t="str">
        <f>"女"</f>
        <v>女</v>
      </c>
      <c r="D291" s="2" t="s">
        <v>10</v>
      </c>
      <c r="E291" s="2" t="s">
        <v>9</v>
      </c>
      <c r="F291" s="2" t="str">
        <f t="shared" si="13"/>
        <v>E2024020</v>
      </c>
      <c r="G291" s="2" t="s">
        <v>405</v>
      </c>
      <c r="H291" s="6" t="s">
        <v>36</v>
      </c>
      <c r="I291" s="6" t="s">
        <v>40</v>
      </c>
      <c r="J291" s="15"/>
      <c r="K291" s="13"/>
      <c r="L291" s="3" t="s">
        <v>831</v>
      </c>
    </row>
    <row r="292" spans="1:12" ht="21.95" customHeight="1">
      <c r="A292" s="1">
        <v>290</v>
      </c>
      <c r="B292" s="2" t="str">
        <f>"黄章喜"</f>
        <v>黄章喜</v>
      </c>
      <c r="C292" s="2" t="str">
        <f>"男"</f>
        <v>男</v>
      </c>
      <c r="D292" s="2" t="s">
        <v>10</v>
      </c>
      <c r="E292" s="2" t="s">
        <v>9</v>
      </c>
      <c r="F292" s="2" t="str">
        <f t="shared" si="13"/>
        <v>E2024020</v>
      </c>
      <c r="G292" s="2" t="s">
        <v>406</v>
      </c>
      <c r="H292" s="6" t="s">
        <v>36</v>
      </c>
      <c r="I292" s="6" t="s">
        <v>61</v>
      </c>
      <c r="J292" s="15"/>
      <c r="K292" s="13"/>
      <c r="L292" s="3" t="s">
        <v>831</v>
      </c>
    </row>
    <row r="293" spans="1:12" ht="21.95" customHeight="1">
      <c r="A293" s="1">
        <v>291</v>
      </c>
      <c r="B293" s="2" t="str">
        <f>"赵倩"</f>
        <v>赵倩</v>
      </c>
      <c r="C293" s="2" t="str">
        <f>"女"</f>
        <v>女</v>
      </c>
      <c r="D293" s="2" t="s">
        <v>10</v>
      </c>
      <c r="E293" s="2" t="s">
        <v>9</v>
      </c>
      <c r="F293" s="2" t="str">
        <f t="shared" si="13"/>
        <v>E2024020</v>
      </c>
      <c r="G293" s="2" t="s">
        <v>409</v>
      </c>
      <c r="H293" s="6" t="s">
        <v>36</v>
      </c>
      <c r="I293" s="6" t="s">
        <v>44</v>
      </c>
      <c r="J293" s="15"/>
      <c r="K293" s="13"/>
      <c r="L293" s="3" t="s">
        <v>831</v>
      </c>
    </row>
    <row r="294" spans="1:12" ht="21.95" customHeight="1">
      <c r="A294" s="1">
        <v>292</v>
      </c>
      <c r="B294" s="2" t="str">
        <f>"谭俊"</f>
        <v>谭俊</v>
      </c>
      <c r="C294" s="2" t="str">
        <f>"男"</f>
        <v>男</v>
      </c>
      <c r="D294" s="2" t="s">
        <v>10</v>
      </c>
      <c r="E294" s="2" t="s">
        <v>9</v>
      </c>
      <c r="F294" s="2" t="str">
        <f t="shared" si="13"/>
        <v>E2024020</v>
      </c>
      <c r="G294" s="2" t="s">
        <v>410</v>
      </c>
      <c r="H294" s="6" t="s">
        <v>36</v>
      </c>
      <c r="I294" s="6" t="s">
        <v>63</v>
      </c>
      <c r="J294" s="15"/>
      <c r="K294" s="13"/>
      <c r="L294" s="3" t="s">
        <v>831</v>
      </c>
    </row>
    <row r="295" spans="1:12" ht="21.95" customHeight="1">
      <c r="A295" s="1">
        <v>293</v>
      </c>
      <c r="B295" s="2" t="str">
        <f>"向祖龙"</f>
        <v>向祖龙</v>
      </c>
      <c r="C295" s="2" t="str">
        <f>"男"</f>
        <v>男</v>
      </c>
      <c r="D295" s="2" t="s">
        <v>10</v>
      </c>
      <c r="E295" s="2" t="s">
        <v>9</v>
      </c>
      <c r="F295" s="2" t="str">
        <f t="shared" si="13"/>
        <v>E2024020</v>
      </c>
      <c r="G295" s="2" t="s">
        <v>412</v>
      </c>
      <c r="H295" s="6" t="s">
        <v>36</v>
      </c>
      <c r="I295" s="6" t="s">
        <v>64</v>
      </c>
      <c r="J295" s="15"/>
      <c r="K295" s="13"/>
      <c r="L295" s="3" t="s">
        <v>831</v>
      </c>
    </row>
    <row r="296" spans="1:12" ht="21.95" customHeight="1">
      <c r="A296" s="1">
        <v>294</v>
      </c>
      <c r="B296" s="2" t="str">
        <f>"刘娟"</f>
        <v>刘娟</v>
      </c>
      <c r="C296" s="2" t="str">
        <f>"女"</f>
        <v>女</v>
      </c>
      <c r="D296" s="2" t="s">
        <v>10</v>
      </c>
      <c r="E296" s="2" t="s">
        <v>9</v>
      </c>
      <c r="F296" s="2" t="str">
        <f t="shared" si="13"/>
        <v>E2024020</v>
      </c>
      <c r="G296" s="2" t="s">
        <v>413</v>
      </c>
      <c r="H296" s="6" t="s">
        <v>36</v>
      </c>
      <c r="I296" s="6" t="s">
        <v>48</v>
      </c>
      <c r="J296" s="15"/>
      <c r="K296" s="13"/>
      <c r="L296" s="3" t="s">
        <v>831</v>
      </c>
    </row>
    <row r="297" spans="1:12" ht="21.95" customHeight="1">
      <c r="A297" s="1">
        <v>295</v>
      </c>
      <c r="B297" s="2" t="str">
        <f>"侯琼"</f>
        <v>侯琼</v>
      </c>
      <c r="C297" s="2" t="str">
        <f>"女"</f>
        <v>女</v>
      </c>
      <c r="D297" s="2" t="s">
        <v>10</v>
      </c>
      <c r="E297" s="2" t="s">
        <v>9</v>
      </c>
      <c r="F297" s="2" t="str">
        <f t="shared" si="13"/>
        <v>E2024020</v>
      </c>
      <c r="G297" s="2" t="s">
        <v>415</v>
      </c>
      <c r="H297" s="6" t="s">
        <v>36</v>
      </c>
      <c r="I297" s="6" t="s">
        <v>50</v>
      </c>
      <c r="J297" s="15"/>
      <c r="K297" s="13"/>
      <c r="L297" s="3" t="s">
        <v>831</v>
      </c>
    </row>
    <row r="298" spans="1:12" ht="21.95" customHeight="1">
      <c r="A298" s="1">
        <v>296</v>
      </c>
      <c r="B298" s="2" t="str">
        <f>"陈萍"</f>
        <v>陈萍</v>
      </c>
      <c r="C298" s="2" t="str">
        <f>"女"</f>
        <v>女</v>
      </c>
      <c r="D298" s="2" t="s">
        <v>10</v>
      </c>
      <c r="E298" s="2" t="s">
        <v>9</v>
      </c>
      <c r="F298" s="2" t="str">
        <f t="shared" si="13"/>
        <v>E2024020</v>
      </c>
      <c r="G298" s="2" t="s">
        <v>417</v>
      </c>
      <c r="H298" s="6" t="s">
        <v>36</v>
      </c>
      <c r="I298" s="6" t="s">
        <v>52</v>
      </c>
      <c r="J298" s="15"/>
      <c r="K298" s="13"/>
      <c r="L298" s="3" t="s">
        <v>831</v>
      </c>
    </row>
    <row r="299" spans="1:12" ht="21.95" customHeight="1">
      <c r="A299" s="1">
        <v>297</v>
      </c>
      <c r="B299" s="2" t="str">
        <f>"杜星"</f>
        <v>杜星</v>
      </c>
      <c r="C299" s="2" t="str">
        <f>"男"</f>
        <v>男</v>
      </c>
      <c r="D299" s="2" t="s">
        <v>10</v>
      </c>
      <c r="E299" s="2" t="s">
        <v>9</v>
      </c>
      <c r="F299" s="2" t="str">
        <f t="shared" si="13"/>
        <v>E2024020</v>
      </c>
      <c r="G299" s="2" t="s">
        <v>418</v>
      </c>
      <c r="H299" s="6" t="s">
        <v>36</v>
      </c>
      <c r="I299" s="6" t="s">
        <v>67</v>
      </c>
      <c r="J299" s="15"/>
      <c r="K299" s="13"/>
      <c r="L299" s="3" t="s">
        <v>831</v>
      </c>
    </row>
    <row r="300" spans="1:12" ht="21.95" customHeight="1">
      <c r="A300" s="1">
        <v>298</v>
      </c>
      <c r="B300" s="2" t="str">
        <f>"梁灵芝"</f>
        <v>梁灵芝</v>
      </c>
      <c r="C300" s="2" t="str">
        <f>"女"</f>
        <v>女</v>
      </c>
      <c r="D300" s="2" t="s">
        <v>10</v>
      </c>
      <c r="E300" s="2" t="s">
        <v>9</v>
      </c>
      <c r="F300" s="2" t="str">
        <f t="shared" si="13"/>
        <v>E2024020</v>
      </c>
      <c r="G300" s="2" t="s">
        <v>421</v>
      </c>
      <c r="H300" s="6" t="s">
        <v>86</v>
      </c>
      <c r="I300" s="6" t="s">
        <v>26</v>
      </c>
      <c r="J300" s="15"/>
      <c r="K300" s="13"/>
      <c r="L300" s="3" t="s">
        <v>831</v>
      </c>
    </row>
    <row r="301" spans="1:12" ht="21.95" customHeight="1">
      <c r="A301" s="1">
        <v>299</v>
      </c>
      <c r="B301" s="2" t="str">
        <f>"李天君"</f>
        <v>李天君</v>
      </c>
      <c r="C301" s="2" t="str">
        <f>"男"</f>
        <v>男</v>
      </c>
      <c r="D301" s="2" t="s">
        <v>10</v>
      </c>
      <c r="E301" s="2" t="s">
        <v>9</v>
      </c>
      <c r="F301" s="2" t="str">
        <f t="shared" si="13"/>
        <v>E2024020</v>
      </c>
      <c r="G301" s="2" t="s">
        <v>424</v>
      </c>
      <c r="H301" s="6" t="s">
        <v>59</v>
      </c>
      <c r="I301" s="6" t="s">
        <v>55</v>
      </c>
      <c r="J301" s="15"/>
      <c r="K301" s="13"/>
      <c r="L301" s="3" t="s">
        <v>831</v>
      </c>
    </row>
    <row r="302" spans="1:12" ht="21.95" customHeight="1">
      <c r="A302" s="1">
        <v>300</v>
      </c>
      <c r="B302" s="2" t="str">
        <f>"卢正红"</f>
        <v>卢正红</v>
      </c>
      <c r="C302" s="2" t="str">
        <f>"女"</f>
        <v>女</v>
      </c>
      <c r="D302" s="2" t="s">
        <v>10</v>
      </c>
      <c r="E302" s="2" t="s">
        <v>9</v>
      </c>
      <c r="F302" s="2" t="str">
        <f t="shared" si="13"/>
        <v>E2024020</v>
      </c>
      <c r="G302" s="2" t="s">
        <v>426</v>
      </c>
      <c r="H302" s="6" t="s">
        <v>59</v>
      </c>
      <c r="I302" s="6" t="s">
        <v>56</v>
      </c>
      <c r="J302" s="15"/>
      <c r="K302" s="13"/>
      <c r="L302" s="3" t="s">
        <v>831</v>
      </c>
    </row>
    <row r="303" spans="1:12" ht="21.95" customHeight="1">
      <c r="A303" s="1">
        <v>301</v>
      </c>
      <c r="B303" s="2" t="str">
        <f>"邹昕羽"</f>
        <v>邹昕羽</v>
      </c>
      <c r="C303" s="2" t="str">
        <f>"女"</f>
        <v>女</v>
      </c>
      <c r="D303" s="2" t="s">
        <v>10</v>
      </c>
      <c r="E303" s="2" t="s">
        <v>9</v>
      </c>
      <c r="F303" s="2" t="str">
        <f t="shared" si="13"/>
        <v>E2024020</v>
      </c>
      <c r="G303" s="2" t="s">
        <v>427</v>
      </c>
      <c r="H303" s="6" t="s">
        <v>59</v>
      </c>
      <c r="I303" s="6" t="s">
        <v>32</v>
      </c>
      <c r="J303" s="15"/>
      <c r="K303" s="13"/>
      <c r="L303" s="3" t="s">
        <v>831</v>
      </c>
    </row>
    <row r="304" spans="1:12" ht="21.95" customHeight="1">
      <c r="A304" s="1">
        <v>302</v>
      </c>
      <c r="B304" s="2" t="str">
        <f>"刘澳"</f>
        <v>刘澳</v>
      </c>
      <c r="C304" s="2" t="str">
        <f>"男"</f>
        <v>男</v>
      </c>
      <c r="D304" s="2" t="s">
        <v>10</v>
      </c>
      <c r="E304" s="2" t="s">
        <v>9</v>
      </c>
      <c r="F304" s="2" t="str">
        <f t="shared" si="13"/>
        <v>E2024020</v>
      </c>
      <c r="G304" s="2" t="s">
        <v>428</v>
      </c>
      <c r="H304" s="6" t="s">
        <v>59</v>
      </c>
      <c r="I304" s="6" t="s">
        <v>57</v>
      </c>
      <c r="J304" s="15"/>
      <c r="K304" s="13"/>
      <c r="L304" s="3" t="s">
        <v>831</v>
      </c>
    </row>
    <row r="305" spans="1:12" ht="21.95" customHeight="1">
      <c r="A305" s="1">
        <v>303</v>
      </c>
      <c r="B305" s="2" t="str">
        <f>"袁廷中"</f>
        <v>袁廷中</v>
      </c>
      <c r="C305" s="2" t="str">
        <f>"男"</f>
        <v>男</v>
      </c>
      <c r="D305" s="2" t="s">
        <v>10</v>
      </c>
      <c r="E305" s="2" t="s">
        <v>9</v>
      </c>
      <c r="F305" s="2" t="str">
        <f t="shared" si="13"/>
        <v>E2024020</v>
      </c>
      <c r="G305" s="2" t="s">
        <v>429</v>
      </c>
      <c r="H305" s="6" t="s">
        <v>59</v>
      </c>
      <c r="I305" s="6" t="s">
        <v>34</v>
      </c>
      <c r="J305" s="15"/>
      <c r="K305" s="13"/>
      <c r="L305" s="3" t="s">
        <v>831</v>
      </c>
    </row>
    <row r="306" spans="1:12" ht="21.95" customHeight="1">
      <c r="A306" s="1">
        <v>304</v>
      </c>
      <c r="B306" s="2" t="str">
        <f>"谭丽"</f>
        <v>谭丽</v>
      </c>
      <c r="C306" s="2" t="str">
        <f t="shared" ref="C306:C311" si="14">"女"</f>
        <v>女</v>
      </c>
      <c r="D306" s="2" t="s">
        <v>10</v>
      </c>
      <c r="E306" s="2" t="s">
        <v>9</v>
      </c>
      <c r="F306" s="2" t="str">
        <f t="shared" si="13"/>
        <v>E2024020</v>
      </c>
      <c r="G306" s="2" t="s">
        <v>431</v>
      </c>
      <c r="H306" s="6" t="s">
        <v>59</v>
      </c>
      <c r="I306" s="6" t="s">
        <v>36</v>
      </c>
      <c r="J306" s="15"/>
      <c r="K306" s="13"/>
      <c r="L306" s="3" t="s">
        <v>831</v>
      </c>
    </row>
    <row r="307" spans="1:12" ht="21.95" customHeight="1">
      <c r="A307" s="1">
        <v>305</v>
      </c>
      <c r="B307" s="2" t="str">
        <f>"赵恬湉"</f>
        <v>赵恬湉</v>
      </c>
      <c r="C307" s="2" t="str">
        <f t="shared" si="14"/>
        <v>女</v>
      </c>
      <c r="D307" s="2" t="s">
        <v>10</v>
      </c>
      <c r="E307" s="2" t="s">
        <v>9</v>
      </c>
      <c r="F307" s="2" t="str">
        <f t="shared" si="13"/>
        <v>E2024020</v>
      </c>
      <c r="G307" s="2" t="s">
        <v>433</v>
      </c>
      <c r="H307" s="6" t="s">
        <v>59</v>
      </c>
      <c r="I307" s="6" t="s">
        <v>38</v>
      </c>
      <c r="J307" s="15"/>
      <c r="K307" s="13"/>
      <c r="L307" s="3" t="s">
        <v>831</v>
      </c>
    </row>
    <row r="308" spans="1:12" ht="21.95" customHeight="1">
      <c r="A308" s="1">
        <v>306</v>
      </c>
      <c r="B308" s="2" t="str">
        <f>"张桂林"</f>
        <v>张桂林</v>
      </c>
      <c r="C308" s="2" t="str">
        <f t="shared" si="14"/>
        <v>女</v>
      </c>
      <c r="D308" s="2" t="s">
        <v>10</v>
      </c>
      <c r="E308" s="2" t="s">
        <v>9</v>
      </c>
      <c r="F308" s="2" t="str">
        <f t="shared" si="13"/>
        <v>E2024020</v>
      </c>
      <c r="G308" s="2" t="s">
        <v>434</v>
      </c>
      <c r="H308" s="6" t="s">
        <v>59</v>
      </c>
      <c r="I308" s="6" t="s">
        <v>60</v>
      </c>
      <c r="J308" s="15"/>
      <c r="K308" s="13"/>
      <c r="L308" s="3" t="s">
        <v>831</v>
      </c>
    </row>
    <row r="309" spans="1:12" ht="21.95" customHeight="1">
      <c r="A309" s="1">
        <v>307</v>
      </c>
      <c r="B309" s="2" t="str">
        <f>"聂莹"</f>
        <v>聂莹</v>
      </c>
      <c r="C309" s="2" t="str">
        <f t="shared" si="14"/>
        <v>女</v>
      </c>
      <c r="D309" s="2" t="s">
        <v>10</v>
      </c>
      <c r="E309" s="2" t="s">
        <v>9</v>
      </c>
      <c r="F309" s="2" t="str">
        <f t="shared" si="13"/>
        <v>E2024020</v>
      </c>
      <c r="G309" s="2" t="s">
        <v>436</v>
      </c>
      <c r="H309" s="6" t="s">
        <v>59</v>
      </c>
      <c r="I309" s="6" t="s">
        <v>61</v>
      </c>
      <c r="J309" s="15"/>
      <c r="K309" s="13"/>
      <c r="L309" s="3" t="s">
        <v>831</v>
      </c>
    </row>
    <row r="310" spans="1:12" ht="21.95" customHeight="1">
      <c r="A310" s="1">
        <v>308</v>
      </c>
      <c r="B310" s="2" t="str">
        <f>"严力新"</f>
        <v>严力新</v>
      </c>
      <c r="C310" s="2" t="str">
        <f t="shared" si="14"/>
        <v>女</v>
      </c>
      <c r="D310" s="2" t="s">
        <v>10</v>
      </c>
      <c r="E310" s="2" t="s">
        <v>9</v>
      </c>
      <c r="F310" s="2" t="str">
        <f t="shared" si="13"/>
        <v>E2024020</v>
      </c>
      <c r="G310" s="2" t="s">
        <v>437</v>
      </c>
      <c r="H310" s="6" t="s">
        <v>59</v>
      </c>
      <c r="I310" s="6" t="s">
        <v>42</v>
      </c>
      <c r="J310" s="15"/>
      <c r="K310" s="13"/>
      <c r="L310" s="3" t="s">
        <v>831</v>
      </c>
    </row>
    <row r="311" spans="1:12" ht="21.95" customHeight="1">
      <c r="A311" s="1">
        <v>309</v>
      </c>
      <c r="B311" s="2" t="str">
        <f>"向敏"</f>
        <v>向敏</v>
      </c>
      <c r="C311" s="2" t="str">
        <f t="shared" si="14"/>
        <v>女</v>
      </c>
      <c r="D311" s="2" t="s">
        <v>10</v>
      </c>
      <c r="E311" s="2" t="s">
        <v>9</v>
      </c>
      <c r="F311" s="2" t="str">
        <f t="shared" si="13"/>
        <v>E2024020</v>
      </c>
      <c r="G311" s="2" t="s">
        <v>438</v>
      </c>
      <c r="H311" s="6" t="s">
        <v>59</v>
      </c>
      <c r="I311" s="6" t="s">
        <v>62</v>
      </c>
      <c r="J311" s="15"/>
      <c r="K311" s="13"/>
      <c r="L311" s="3" t="s">
        <v>831</v>
      </c>
    </row>
    <row r="312" spans="1:12" ht="21.95" customHeight="1">
      <c r="A312" s="1">
        <v>310</v>
      </c>
      <c r="B312" s="2" t="str">
        <f>"林国庆"</f>
        <v>林国庆</v>
      </c>
      <c r="C312" s="2" t="str">
        <f>"男"</f>
        <v>男</v>
      </c>
      <c r="D312" s="2" t="s">
        <v>10</v>
      </c>
      <c r="E312" s="2" t="s">
        <v>9</v>
      </c>
      <c r="F312" s="2" t="str">
        <f t="shared" si="13"/>
        <v>E2024020</v>
      </c>
      <c r="G312" s="2" t="s">
        <v>439</v>
      </c>
      <c r="H312" s="6" t="s">
        <v>59</v>
      </c>
      <c r="I312" s="6" t="s">
        <v>44</v>
      </c>
      <c r="J312" s="15"/>
      <c r="K312" s="13"/>
      <c r="L312" s="3" t="s">
        <v>831</v>
      </c>
    </row>
    <row r="313" spans="1:12" ht="21.95" customHeight="1">
      <c r="A313" s="1">
        <v>311</v>
      </c>
      <c r="B313" s="2" t="str">
        <f>"赵然"</f>
        <v>赵然</v>
      </c>
      <c r="C313" s="2" t="str">
        <f>"女"</f>
        <v>女</v>
      </c>
      <c r="D313" s="2" t="s">
        <v>10</v>
      </c>
      <c r="E313" s="2" t="s">
        <v>9</v>
      </c>
      <c r="F313" s="2" t="str">
        <f t="shared" si="13"/>
        <v>E2024020</v>
      </c>
      <c r="G313" s="2" t="s">
        <v>440</v>
      </c>
      <c r="H313" s="6" t="s">
        <v>59</v>
      </c>
      <c r="I313" s="6" t="s">
        <v>63</v>
      </c>
      <c r="J313" s="15"/>
      <c r="K313" s="13"/>
      <c r="L313" s="3" t="s">
        <v>831</v>
      </c>
    </row>
    <row r="314" spans="1:12" ht="21.95" customHeight="1">
      <c r="A314" s="1">
        <v>312</v>
      </c>
      <c r="B314" s="2" t="str">
        <f>"王宏蔚"</f>
        <v>王宏蔚</v>
      </c>
      <c r="C314" s="2" t="str">
        <f>"男"</f>
        <v>男</v>
      </c>
      <c r="D314" s="2" t="s">
        <v>10</v>
      </c>
      <c r="E314" s="2" t="s">
        <v>9</v>
      </c>
      <c r="F314" s="2" t="str">
        <f t="shared" si="13"/>
        <v>E2024020</v>
      </c>
      <c r="G314" s="2" t="s">
        <v>441</v>
      </c>
      <c r="H314" s="6" t="s">
        <v>59</v>
      </c>
      <c r="I314" s="6" t="s">
        <v>46</v>
      </c>
      <c r="J314" s="15"/>
      <c r="K314" s="13"/>
      <c r="L314" s="3" t="s">
        <v>831</v>
      </c>
    </row>
    <row r="315" spans="1:12" ht="21.95" customHeight="1">
      <c r="A315" s="1">
        <v>313</v>
      </c>
      <c r="B315" s="2" t="str">
        <f>"蒋渊玉"</f>
        <v>蒋渊玉</v>
      </c>
      <c r="C315" s="2" t="str">
        <f>"女"</f>
        <v>女</v>
      </c>
      <c r="D315" s="2" t="s">
        <v>10</v>
      </c>
      <c r="E315" s="2" t="s">
        <v>9</v>
      </c>
      <c r="F315" s="2" t="str">
        <f t="shared" si="13"/>
        <v>E2024020</v>
      </c>
      <c r="G315" s="2" t="s">
        <v>443</v>
      </c>
      <c r="H315" s="6" t="s">
        <v>59</v>
      </c>
      <c r="I315" s="6" t="s">
        <v>48</v>
      </c>
      <c r="J315" s="15"/>
      <c r="K315" s="13"/>
      <c r="L315" s="3" t="s">
        <v>831</v>
      </c>
    </row>
    <row r="316" spans="1:12" ht="21.95" customHeight="1">
      <c r="A316" s="1">
        <v>314</v>
      </c>
      <c r="B316" s="2" t="str">
        <f>"曹蕾"</f>
        <v>曹蕾</v>
      </c>
      <c r="C316" s="2" t="str">
        <f>"女"</f>
        <v>女</v>
      </c>
      <c r="D316" s="2" t="s">
        <v>10</v>
      </c>
      <c r="E316" s="2" t="s">
        <v>9</v>
      </c>
      <c r="F316" s="2" t="str">
        <f t="shared" si="13"/>
        <v>E2024020</v>
      </c>
      <c r="G316" s="2" t="s">
        <v>444</v>
      </c>
      <c r="H316" s="6" t="s">
        <v>59</v>
      </c>
      <c r="I316" s="6" t="s">
        <v>65</v>
      </c>
      <c r="J316" s="15"/>
      <c r="K316" s="13"/>
      <c r="L316" s="3" t="s">
        <v>831</v>
      </c>
    </row>
    <row r="317" spans="1:12" ht="21.95" customHeight="1">
      <c r="A317" s="1">
        <v>315</v>
      </c>
      <c r="B317" s="2" t="str">
        <f>"覃遵晴"</f>
        <v>覃遵晴</v>
      </c>
      <c r="C317" s="2" t="str">
        <f>"女"</f>
        <v>女</v>
      </c>
      <c r="D317" s="2" t="s">
        <v>10</v>
      </c>
      <c r="E317" s="2" t="s">
        <v>9</v>
      </c>
      <c r="F317" s="2" t="str">
        <f t="shared" si="13"/>
        <v>E2024020</v>
      </c>
      <c r="G317" s="2" t="s">
        <v>445</v>
      </c>
      <c r="H317" s="6" t="s">
        <v>59</v>
      </c>
      <c r="I317" s="6" t="s">
        <v>50</v>
      </c>
      <c r="J317" s="15"/>
      <c r="K317" s="13"/>
      <c r="L317" s="3" t="s">
        <v>831</v>
      </c>
    </row>
    <row r="318" spans="1:12" ht="21.95" customHeight="1">
      <c r="A318" s="1">
        <v>316</v>
      </c>
      <c r="B318" s="2" t="str">
        <f>"杜一飞"</f>
        <v>杜一飞</v>
      </c>
      <c r="C318" s="2" t="str">
        <f>"男"</f>
        <v>男</v>
      </c>
      <c r="D318" s="2" t="s">
        <v>10</v>
      </c>
      <c r="E318" s="2" t="s">
        <v>9</v>
      </c>
      <c r="F318" s="2" t="str">
        <f t="shared" si="13"/>
        <v>E2024020</v>
      </c>
      <c r="G318" s="2" t="s">
        <v>446</v>
      </c>
      <c r="H318" s="6" t="s">
        <v>59</v>
      </c>
      <c r="I318" s="6" t="s">
        <v>66</v>
      </c>
      <c r="J318" s="15"/>
      <c r="K318" s="13"/>
      <c r="L318" s="3" t="s">
        <v>831</v>
      </c>
    </row>
    <row r="319" spans="1:12" ht="21.95" customHeight="1">
      <c r="A319" s="1">
        <v>317</v>
      </c>
      <c r="B319" s="2" t="str">
        <f>"李烜"</f>
        <v>李烜</v>
      </c>
      <c r="C319" s="2" t="str">
        <f t="shared" ref="C319:C325" si="15">"女"</f>
        <v>女</v>
      </c>
      <c r="D319" s="2" t="s">
        <v>10</v>
      </c>
      <c r="E319" s="2" t="s">
        <v>9</v>
      </c>
      <c r="F319" s="2" t="str">
        <f t="shared" si="13"/>
        <v>E2024020</v>
      </c>
      <c r="G319" s="2" t="s">
        <v>449</v>
      </c>
      <c r="H319" s="6" t="s">
        <v>59</v>
      </c>
      <c r="I319" s="6" t="s">
        <v>71</v>
      </c>
      <c r="J319" s="15"/>
      <c r="K319" s="13"/>
      <c r="L319" s="3" t="s">
        <v>831</v>
      </c>
    </row>
    <row r="320" spans="1:12" ht="21.95" customHeight="1">
      <c r="A320" s="1">
        <v>318</v>
      </c>
      <c r="B320" s="2" t="str">
        <f>"蒙伍玲"</f>
        <v>蒙伍玲</v>
      </c>
      <c r="C320" s="2" t="str">
        <f t="shared" si="15"/>
        <v>女</v>
      </c>
      <c r="D320" s="2" t="s">
        <v>10</v>
      </c>
      <c r="E320" s="2" t="s">
        <v>9</v>
      </c>
      <c r="F320" s="2" t="str">
        <f t="shared" si="13"/>
        <v>E2024020</v>
      </c>
      <c r="G320" s="2" t="s">
        <v>452</v>
      </c>
      <c r="H320" s="6" t="s">
        <v>87</v>
      </c>
      <c r="I320" s="6" t="s">
        <v>54</v>
      </c>
      <c r="J320" s="15"/>
      <c r="K320" s="13"/>
      <c r="L320" s="3" t="s">
        <v>831</v>
      </c>
    </row>
    <row r="321" spans="1:12" ht="21.95" customHeight="1">
      <c r="A321" s="1">
        <v>319</v>
      </c>
      <c r="B321" s="2" t="str">
        <f>"蒋虹"</f>
        <v>蒋虹</v>
      </c>
      <c r="C321" s="2" t="str">
        <f t="shared" si="15"/>
        <v>女</v>
      </c>
      <c r="D321" s="2" t="s">
        <v>10</v>
      </c>
      <c r="E321" s="2" t="s">
        <v>9</v>
      </c>
      <c r="F321" s="2" t="str">
        <f t="shared" si="13"/>
        <v>E2024020</v>
      </c>
      <c r="G321" s="2" t="s">
        <v>453</v>
      </c>
      <c r="H321" s="6" t="s">
        <v>38</v>
      </c>
      <c r="I321" s="6" t="s">
        <v>28</v>
      </c>
      <c r="J321" s="15"/>
      <c r="K321" s="13"/>
      <c r="L321" s="3" t="s">
        <v>831</v>
      </c>
    </row>
    <row r="322" spans="1:12" ht="21.95" customHeight="1">
      <c r="A322" s="1">
        <v>320</v>
      </c>
      <c r="B322" s="2" t="str">
        <f>"张美丹"</f>
        <v>张美丹</v>
      </c>
      <c r="C322" s="2" t="str">
        <f t="shared" si="15"/>
        <v>女</v>
      </c>
      <c r="D322" s="2" t="s">
        <v>10</v>
      </c>
      <c r="E322" s="2" t="s">
        <v>9</v>
      </c>
      <c r="F322" s="2" t="str">
        <f t="shared" si="13"/>
        <v>E2024020</v>
      </c>
      <c r="G322" s="2" t="s">
        <v>454</v>
      </c>
      <c r="H322" s="6" t="s">
        <v>38</v>
      </c>
      <c r="I322" s="6" t="s">
        <v>55</v>
      </c>
      <c r="J322" s="15"/>
      <c r="K322" s="13"/>
      <c r="L322" s="3" t="s">
        <v>831</v>
      </c>
    </row>
    <row r="323" spans="1:12" ht="21.95" customHeight="1">
      <c r="A323" s="1">
        <v>321</v>
      </c>
      <c r="B323" s="2" t="str">
        <f>"姚碧荣"</f>
        <v>姚碧荣</v>
      </c>
      <c r="C323" s="2" t="str">
        <f t="shared" si="15"/>
        <v>女</v>
      </c>
      <c r="D323" s="2" t="s">
        <v>10</v>
      </c>
      <c r="E323" s="2" t="s">
        <v>9</v>
      </c>
      <c r="F323" s="2" t="str">
        <f t="shared" si="13"/>
        <v>E2024020</v>
      </c>
      <c r="G323" s="2" t="s">
        <v>456</v>
      </c>
      <c r="H323" s="6" t="s">
        <v>38</v>
      </c>
      <c r="I323" s="6" t="s">
        <v>56</v>
      </c>
      <c r="J323" s="15"/>
      <c r="K323" s="13"/>
      <c r="L323" s="3" t="s">
        <v>831</v>
      </c>
    </row>
    <row r="324" spans="1:12" ht="21.95" customHeight="1">
      <c r="A324" s="1">
        <v>322</v>
      </c>
      <c r="B324" s="2" t="str">
        <f>"罗家翠"</f>
        <v>罗家翠</v>
      </c>
      <c r="C324" s="2" t="str">
        <f t="shared" si="15"/>
        <v>女</v>
      </c>
      <c r="D324" s="2" t="s">
        <v>10</v>
      </c>
      <c r="E324" s="2" t="s">
        <v>9</v>
      </c>
      <c r="F324" s="2" t="str">
        <f t="shared" si="13"/>
        <v>E2024020</v>
      </c>
      <c r="G324" s="2" t="s">
        <v>457</v>
      </c>
      <c r="H324" s="6" t="s">
        <v>38</v>
      </c>
      <c r="I324" s="6" t="s">
        <v>32</v>
      </c>
      <c r="J324" s="15"/>
      <c r="K324" s="13"/>
      <c r="L324" s="3" t="s">
        <v>831</v>
      </c>
    </row>
    <row r="325" spans="1:12" ht="21.95" customHeight="1">
      <c r="A325" s="1">
        <v>323</v>
      </c>
      <c r="B325" s="2" t="str">
        <f>"祝兆娟"</f>
        <v>祝兆娟</v>
      </c>
      <c r="C325" s="2" t="str">
        <f t="shared" si="15"/>
        <v>女</v>
      </c>
      <c r="D325" s="2" t="s">
        <v>10</v>
      </c>
      <c r="E325" s="2" t="s">
        <v>9</v>
      </c>
      <c r="F325" s="2" t="str">
        <f t="shared" si="13"/>
        <v>E2024020</v>
      </c>
      <c r="G325" s="2" t="s">
        <v>459</v>
      </c>
      <c r="H325" s="6" t="s">
        <v>38</v>
      </c>
      <c r="I325" s="6" t="s">
        <v>34</v>
      </c>
      <c r="J325" s="15"/>
      <c r="K325" s="13"/>
      <c r="L325" s="3" t="s">
        <v>831</v>
      </c>
    </row>
    <row r="326" spans="1:12" ht="21.95" customHeight="1">
      <c r="A326" s="1">
        <v>324</v>
      </c>
      <c r="B326" s="2" t="str">
        <f>"陈桢"</f>
        <v>陈桢</v>
      </c>
      <c r="C326" s="2" t="str">
        <f>"男"</f>
        <v>男</v>
      </c>
      <c r="D326" s="2" t="s">
        <v>10</v>
      </c>
      <c r="E326" s="2" t="s">
        <v>9</v>
      </c>
      <c r="F326" s="2" t="str">
        <f t="shared" si="13"/>
        <v>E2024020</v>
      </c>
      <c r="G326" s="2" t="s">
        <v>460</v>
      </c>
      <c r="H326" s="6" t="s">
        <v>38</v>
      </c>
      <c r="I326" s="6" t="s">
        <v>58</v>
      </c>
      <c r="J326" s="15"/>
      <c r="K326" s="13"/>
      <c r="L326" s="3" t="s">
        <v>831</v>
      </c>
    </row>
    <row r="327" spans="1:12" ht="21.95" customHeight="1">
      <c r="A327" s="1">
        <v>325</v>
      </c>
      <c r="B327" s="2" t="str">
        <f>"刘婧瑛"</f>
        <v>刘婧瑛</v>
      </c>
      <c r="C327" s="2" t="str">
        <f>"女"</f>
        <v>女</v>
      </c>
      <c r="D327" s="2" t="s">
        <v>10</v>
      </c>
      <c r="E327" s="2" t="s">
        <v>9</v>
      </c>
      <c r="F327" s="2" t="str">
        <f t="shared" si="13"/>
        <v>E2024020</v>
      </c>
      <c r="G327" s="2" t="s">
        <v>461</v>
      </c>
      <c r="H327" s="6" t="s">
        <v>38</v>
      </c>
      <c r="I327" s="6" t="s">
        <v>36</v>
      </c>
      <c r="J327" s="15"/>
      <c r="K327" s="13"/>
      <c r="L327" s="3" t="s">
        <v>831</v>
      </c>
    </row>
    <row r="328" spans="1:12" ht="21.95" customHeight="1">
      <c r="A328" s="1">
        <v>326</v>
      </c>
      <c r="B328" s="2" t="str">
        <f>"黄垚"</f>
        <v>黄垚</v>
      </c>
      <c r="C328" s="2" t="str">
        <f>"男"</f>
        <v>男</v>
      </c>
      <c r="D328" s="2" t="s">
        <v>10</v>
      </c>
      <c r="E328" s="2" t="s">
        <v>9</v>
      </c>
      <c r="F328" s="2" t="str">
        <f t="shared" si="13"/>
        <v>E2024020</v>
      </c>
      <c r="G328" s="2" t="s">
        <v>462</v>
      </c>
      <c r="H328" s="6" t="s">
        <v>38</v>
      </c>
      <c r="I328" s="6" t="s">
        <v>59</v>
      </c>
      <c r="J328" s="15"/>
      <c r="K328" s="13"/>
      <c r="L328" s="3" t="s">
        <v>831</v>
      </c>
    </row>
    <row r="329" spans="1:12" ht="21.95" customHeight="1">
      <c r="A329" s="1">
        <v>327</v>
      </c>
      <c r="B329" s="2" t="str">
        <f>"谭艳妮"</f>
        <v>谭艳妮</v>
      </c>
      <c r="C329" s="2" t="str">
        <f>"女"</f>
        <v>女</v>
      </c>
      <c r="D329" s="2" t="s">
        <v>10</v>
      </c>
      <c r="E329" s="2" t="s">
        <v>9</v>
      </c>
      <c r="F329" s="2" t="str">
        <f t="shared" si="13"/>
        <v>E2024020</v>
      </c>
      <c r="G329" s="2" t="s">
        <v>464</v>
      </c>
      <c r="H329" s="6" t="s">
        <v>38</v>
      </c>
      <c r="I329" s="6" t="s">
        <v>60</v>
      </c>
      <c r="J329" s="15"/>
      <c r="K329" s="13"/>
      <c r="L329" s="3" t="s">
        <v>831</v>
      </c>
    </row>
    <row r="330" spans="1:12" ht="21.95" customHeight="1">
      <c r="A330" s="1">
        <v>328</v>
      </c>
      <c r="B330" s="2" t="str">
        <f>"李鑫"</f>
        <v>李鑫</v>
      </c>
      <c r="C330" s="2" t="str">
        <f>"男"</f>
        <v>男</v>
      </c>
      <c r="D330" s="2" t="s">
        <v>10</v>
      </c>
      <c r="E330" s="2" t="s">
        <v>9</v>
      </c>
      <c r="F330" s="2" t="str">
        <f t="shared" si="13"/>
        <v>E2024020</v>
      </c>
      <c r="G330" s="2" t="s">
        <v>465</v>
      </c>
      <c r="H330" s="6" t="s">
        <v>38</v>
      </c>
      <c r="I330" s="6" t="s">
        <v>40</v>
      </c>
      <c r="J330" s="15"/>
      <c r="K330" s="13"/>
      <c r="L330" s="3" t="s">
        <v>831</v>
      </c>
    </row>
    <row r="331" spans="1:12" ht="21.95" customHeight="1">
      <c r="A331" s="1">
        <v>329</v>
      </c>
      <c r="B331" s="2" t="str">
        <f>"敖馨尹"</f>
        <v>敖馨尹</v>
      </c>
      <c r="C331" s="2" t="str">
        <f>"女"</f>
        <v>女</v>
      </c>
      <c r="D331" s="2" t="s">
        <v>10</v>
      </c>
      <c r="E331" s="2" t="s">
        <v>9</v>
      </c>
      <c r="F331" s="2" t="str">
        <f t="shared" si="13"/>
        <v>E2024020</v>
      </c>
      <c r="G331" s="2" t="s">
        <v>466</v>
      </c>
      <c r="H331" s="6" t="s">
        <v>38</v>
      </c>
      <c r="I331" s="6" t="s">
        <v>61</v>
      </c>
      <c r="J331" s="15"/>
      <c r="K331" s="13"/>
      <c r="L331" s="3" t="s">
        <v>831</v>
      </c>
    </row>
    <row r="332" spans="1:12" ht="21.95" customHeight="1">
      <c r="A332" s="1">
        <v>330</v>
      </c>
      <c r="B332" s="2" t="str">
        <f>"杨琰"</f>
        <v>杨琰</v>
      </c>
      <c r="C332" s="2" t="str">
        <f>"女"</f>
        <v>女</v>
      </c>
      <c r="D332" s="2" t="s">
        <v>10</v>
      </c>
      <c r="E332" s="2" t="s">
        <v>9</v>
      </c>
      <c r="F332" s="2" t="str">
        <f t="shared" si="13"/>
        <v>E2024020</v>
      </c>
      <c r="G332" s="2" t="s">
        <v>467</v>
      </c>
      <c r="H332" s="6" t="s">
        <v>38</v>
      </c>
      <c r="I332" s="6" t="s">
        <v>42</v>
      </c>
      <c r="J332" s="15"/>
      <c r="K332" s="13"/>
      <c r="L332" s="3" t="s">
        <v>831</v>
      </c>
    </row>
    <row r="333" spans="1:12" ht="21.95" customHeight="1">
      <c r="A333" s="1">
        <v>331</v>
      </c>
      <c r="B333" s="2" t="str">
        <f>"姚敏"</f>
        <v>姚敏</v>
      </c>
      <c r="C333" s="2" t="str">
        <f>"女"</f>
        <v>女</v>
      </c>
      <c r="D333" s="2" t="s">
        <v>10</v>
      </c>
      <c r="E333" s="2" t="s">
        <v>9</v>
      </c>
      <c r="F333" s="2" t="str">
        <f t="shared" si="13"/>
        <v>E2024020</v>
      </c>
      <c r="G333" s="2" t="s">
        <v>468</v>
      </c>
      <c r="H333" s="6" t="s">
        <v>38</v>
      </c>
      <c r="I333" s="6" t="s">
        <v>62</v>
      </c>
      <c r="J333" s="15"/>
      <c r="K333" s="13"/>
      <c r="L333" s="3" t="s">
        <v>831</v>
      </c>
    </row>
    <row r="334" spans="1:12" ht="21.95" customHeight="1">
      <c r="A334" s="1">
        <v>332</v>
      </c>
      <c r="B334" s="2" t="str">
        <f>"黄晓龙"</f>
        <v>黄晓龙</v>
      </c>
      <c r="C334" s="2" t="str">
        <f>"男"</f>
        <v>男</v>
      </c>
      <c r="D334" s="2" t="s">
        <v>10</v>
      </c>
      <c r="E334" s="2" t="s">
        <v>9</v>
      </c>
      <c r="F334" s="2" t="str">
        <f t="shared" si="13"/>
        <v>E2024020</v>
      </c>
      <c r="G334" s="2" t="s">
        <v>469</v>
      </c>
      <c r="H334" s="6" t="s">
        <v>38</v>
      </c>
      <c r="I334" s="6" t="s">
        <v>44</v>
      </c>
      <c r="J334" s="15"/>
      <c r="K334" s="13"/>
      <c r="L334" s="3" t="s">
        <v>831</v>
      </c>
    </row>
    <row r="335" spans="1:12" ht="21.95" customHeight="1">
      <c r="A335" s="1">
        <v>333</v>
      </c>
      <c r="B335" s="2" t="str">
        <f>"吴迪"</f>
        <v>吴迪</v>
      </c>
      <c r="C335" s="2" t="str">
        <f>"女"</f>
        <v>女</v>
      </c>
      <c r="D335" s="2" t="s">
        <v>10</v>
      </c>
      <c r="E335" s="2" t="s">
        <v>9</v>
      </c>
      <c r="F335" s="2" t="str">
        <f t="shared" si="13"/>
        <v>E2024020</v>
      </c>
      <c r="G335" s="2" t="s">
        <v>472</v>
      </c>
      <c r="H335" s="6" t="s">
        <v>38</v>
      </c>
      <c r="I335" s="6" t="s">
        <v>64</v>
      </c>
      <c r="J335" s="15"/>
      <c r="K335" s="13"/>
      <c r="L335" s="3" t="s">
        <v>831</v>
      </c>
    </row>
    <row r="336" spans="1:12" ht="21.95" customHeight="1">
      <c r="A336" s="1">
        <v>334</v>
      </c>
      <c r="B336" s="2" t="str">
        <f>"罗平洋"</f>
        <v>罗平洋</v>
      </c>
      <c r="C336" s="2" t="str">
        <f>"女"</f>
        <v>女</v>
      </c>
      <c r="D336" s="2" t="s">
        <v>10</v>
      </c>
      <c r="E336" s="2" t="s">
        <v>9</v>
      </c>
      <c r="F336" s="2" t="str">
        <f t="shared" si="13"/>
        <v>E2024020</v>
      </c>
      <c r="G336" s="2" t="s">
        <v>474</v>
      </c>
      <c r="H336" s="6" t="s">
        <v>38</v>
      </c>
      <c r="I336" s="6" t="s">
        <v>65</v>
      </c>
      <c r="J336" s="15"/>
      <c r="K336" s="13"/>
      <c r="L336" s="3" t="s">
        <v>831</v>
      </c>
    </row>
    <row r="337" spans="1:12" ht="21.95" customHeight="1">
      <c r="A337" s="1">
        <v>335</v>
      </c>
      <c r="B337" s="2" t="str">
        <f>"滕璐"</f>
        <v>滕璐</v>
      </c>
      <c r="C337" s="2" t="str">
        <f>"女"</f>
        <v>女</v>
      </c>
      <c r="D337" s="2" t="s">
        <v>10</v>
      </c>
      <c r="E337" s="2" t="s">
        <v>9</v>
      </c>
      <c r="F337" s="2" t="str">
        <f t="shared" si="13"/>
        <v>E2024020</v>
      </c>
      <c r="G337" s="2" t="s">
        <v>477</v>
      </c>
      <c r="H337" s="6" t="s">
        <v>38</v>
      </c>
      <c r="I337" s="6" t="s">
        <v>52</v>
      </c>
      <c r="J337" s="15"/>
      <c r="K337" s="13"/>
      <c r="L337" s="3" t="s">
        <v>831</v>
      </c>
    </row>
    <row r="338" spans="1:12" ht="21.95" customHeight="1">
      <c r="A338" s="1">
        <v>336</v>
      </c>
      <c r="B338" s="2" t="str">
        <f>"于永航"</f>
        <v>于永航</v>
      </c>
      <c r="C338" s="2" t="str">
        <f>"女"</f>
        <v>女</v>
      </c>
      <c r="D338" s="2" t="s">
        <v>10</v>
      </c>
      <c r="E338" s="2" t="s">
        <v>9</v>
      </c>
      <c r="F338" s="2" t="str">
        <f t="shared" si="13"/>
        <v>E2024020</v>
      </c>
      <c r="G338" s="2" t="s">
        <v>478</v>
      </c>
      <c r="H338" s="6" t="s">
        <v>38</v>
      </c>
      <c r="I338" s="6" t="s">
        <v>67</v>
      </c>
      <c r="J338" s="15"/>
      <c r="K338" s="13"/>
      <c r="L338" s="3" t="s">
        <v>831</v>
      </c>
    </row>
    <row r="339" spans="1:12" ht="21.95" customHeight="1">
      <c r="A339" s="1">
        <v>337</v>
      </c>
      <c r="B339" s="2" t="str">
        <f>"王紫微"</f>
        <v>王紫微</v>
      </c>
      <c r="C339" s="2" t="str">
        <f>"女"</f>
        <v>女</v>
      </c>
      <c r="D339" s="2" t="s">
        <v>10</v>
      </c>
      <c r="E339" s="2" t="s">
        <v>9</v>
      </c>
      <c r="F339" s="2" t="str">
        <f t="shared" si="13"/>
        <v>E2024020</v>
      </c>
      <c r="G339" s="2" t="s">
        <v>479</v>
      </c>
      <c r="H339" s="6" t="s">
        <v>38</v>
      </c>
      <c r="I339" s="6" t="s">
        <v>71</v>
      </c>
      <c r="J339" s="15"/>
      <c r="K339" s="13"/>
      <c r="L339" s="3" t="s">
        <v>831</v>
      </c>
    </row>
    <row r="340" spans="1:12" ht="21.95" customHeight="1">
      <c r="A340" s="1">
        <v>338</v>
      </c>
      <c r="B340" s="2" t="str">
        <f>"侯宪"</f>
        <v>侯宪</v>
      </c>
      <c r="C340" s="2" t="str">
        <f>"男"</f>
        <v>男</v>
      </c>
      <c r="D340" s="2" t="s">
        <v>10</v>
      </c>
      <c r="E340" s="2" t="s">
        <v>9</v>
      </c>
      <c r="F340" s="2" t="str">
        <f t="shared" si="13"/>
        <v>E2024020</v>
      </c>
      <c r="G340" s="2" t="s">
        <v>480</v>
      </c>
      <c r="H340" s="6" t="s">
        <v>38</v>
      </c>
      <c r="I340" s="6" t="s">
        <v>72</v>
      </c>
      <c r="J340" s="15"/>
      <c r="K340" s="13"/>
      <c r="L340" s="3" t="s">
        <v>831</v>
      </c>
    </row>
    <row r="341" spans="1:12" ht="21.95" customHeight="1">
      <c r="A341" s="1">
        <v>339</v>
      </c>
      <c r="B341" s="2" t="str">
        <f>"李泓淼"</f>
        <v>李泓淼</v>
      </c>
      <c r="C341" s="2" t="str">
        <f>"女"</f>
        <v>女</v>
      </c>
      <c r="D341" s="2" t="s">
        <v>10</v>
      </c>
      <c r="E341" s="2" t="s">
        <v>9</v>
      </c>
      <c r="F341" s="2" t="str">
        <f t="shared" si="13"/>
        <v>E2024020</v>
      </c>
      <c r="G341" s="2" t="s">
        <v>482</v>
      </c>
      <c r="H341" s="6" t="s">
        <v>88</v>
      </c>
      <c r="I341" s="6" t="s">
        <v>54</v>
      </c>
      <c r="J341" s="15"/>
      <c r="K341" s="13"/>
      <c r="L341" s="3" t="s">
        <v>831</v>
      </c>
    </row>
    <row r="342" spans="1:12" ht="21.95" customHeight="1">
      <c r="A342" s="1">
        <v>340</v>
      </c>
      <c r="B342" s="2" t="str">
        <f>"曾庆红"</f>
        <v>曾庆红</v>
      </c>
      <c r="C342" s="2" t="str">
        <f>"女"</f>
        <v>女</v>
      </c>
      <c r="D342" s="2" t="s">
        <v>10</v>
      </c>
      <c r="E342" s="2" t="s">
        <v>9</v>
      </c>
      <c r="F342" s="2" t="str">
        <f t="shared" ref="F342:F370" si="16">"E2024020"</f>
        <v>E2024020</v>
      </c>
      <c r="G342" s="2" t="s">
        <v>483</v>
      </c>
      <c r="H342" s="6" t="s">
        <v>60</v>
      </c>
      <c r="I342" s="6" t="s">
        <v>28</v>
      </c>
      <c r="J342" s="15"/>
      <c r="K342" s="13"/>
      <c r="L342" s="3" t="s">
        <v>831</v>
      </c>
    </row>
    <row r="343" spans="1:12" ht="21.95" customHeight="1">
      <c r="A343" s="1">
        <v>341</v>
      </c>
      <c r="B343" s="2" t="str">
        <f>"王东"</f>
        <v>王东</v>
      </c>
      <c r="C343" s="2" t="str">
        <f>"男"</f>
        <v>男</v>
      </c>
      <c r="D343" s="2" t="s">
        <v>10</v>
      </c>
      <c r="E343" s="2" t="s">
        <v>9</v>
      </c>
      <c r="F343" s="2" t="str">
        <f t="shared" si="16"/>
        <v>E2024020</v>
      </c>
      <c r="G343" s="2" t="s">
        <v>484</v>
      </c>
      <c r="H343" s="6" t="s">
        <v>60</v>
      </c>
      <c r="I343" s="6" t="s">
        <v>55</v>
      </c>
      <c r="J343" s="15"/>
      <c r="K343" s="13"/>
      <c r="L343" s="3" t="s">
        <v>831</v>
      </c>
    </row>
    <row r="344" spans="1:12" ht="21.95" customHeight="1">
      <c r="A344" s="1">
        <v>342</v>
      </c>
      <c r="B344" s="2" t="str">
        <f>"唐垒"</f>
        <v>唐垒</v>
      </c>
      <c r="C344" s="2" t="str">
        <f>"女"</f>
        <v>女</v>
      </c>
      <c r="D344" s="2" t="s">
        <v>10</v>
      </c>
      <c r="E344" s="2" t="s">
        <v>9</v>
      </c>
      <c r="F344" s="2" t="str">
        <f t="shared" si="16"/>
        <v>E2024020</v>
      </c>
      <c r="G344" s="2" t="s">
        <v>485</v>
      </c>
      <c r="H344" s="6" t="s">
        <v>60</v>
      </c>
      <c r="I344" s="6" t="s">
        <v>30</v>
      </c>
      <c r="J344" s="15"/>
      <c r="K344" s="13"/>
      <c r="L344" s="3" t="s">
        <v>831</v>
      </c>
    </row>
    <row r="345" spans="1:12" ht="21.95" customHeight="1">
      <c r="A345" s="1">
        <v>343</v>
      </c>
      <c r="B345" s="2" t="str">
        <f>"董发念"</f>
        <v>董发念</v>
      </c>
      <c r="C345" s="2" t="str">
        <f>"男"</f>
        <v>男</v>
      </c>
      <c r="D345" s="2" t="s">
        <v>10</v>
      </c>
      <c r="E345" s="2" t="s">
        <v>9</v>
      </c>
      <c r="F345" s="2" t="str">
        <f t="shared" si="16"/>
        <v>E2024020</v>
      </c>
      <c r="G345" s="2" t="s">
        <v>486</v>
      </c>
      <c r="H345" s="6" t="s">
        <v>60</v>
      </c>
      <c r="I345" s="6" t="s">
        <v>56</v>
      </c>
      <c r="J345" s="15"/>
      <c r="K345" s="13"/>
      <c r="L345" s="3" t="s">
        <v>831</v>
      </c>
    </row>
    <row r="346" spans="1:12" ht="21.95" customHeight="1">
      <c r="A346" s="1">
        <v>344</v>
      </c>
      <c r="B346" s="2" t="str">
        <f>"王金蓉"</f>
        <v>王金蓉</v>
      </c>
      <c r="C346" s="2" t="str">
        <f t="shared" ref="C346:C355" si="17">"女"</f>
        <v>女</v>
      </c>
      <c r="D346" s="2" t="s">
        <v>10</v>
      </c>
      <c r="E346" s="2" t="s">
        <v>9</v>
      </c>
      <c r="F346" s="2" t="str">
        <f t="shared" si="16"/>
        <v>E2024020</v>
      </c>
      <c r="G346" s="2" t="s">
        <v>488</v>
      </c>
      <c r="H346" s="6" t="s">
        <v>60</v>
      </c>
      <c r="I346" s="6" t="s">
        <v>57</v>
      </c>
      <c r="J346" s="15"/>
      <c r="K346" s="13"/>
      <c r="L346" s="3" t="s">
        <v>831</v>
      </c>
    </row>
    <row r="347" spans="1:12" ht="21.95" customHeight="1">
      <c r="A347" s="1">
        <v>345</v>
      </c>
      <c r="B347" s="2" t="str">
        <f>"李小燕"</f>
        <v>李小燕</v>
      </c>
      <c r="C347" s="2" t="str">
        <f t="shared" si="17"/>
        <v>女</v>
      </c>
      <c r="D347" s="2" t="s">
        <v>10</v>
      </c>
      <c r="E347" s="2" t="s">
        <v>9</v>
      </c>
      <c r="F347" s="2" t="str">
        <f t="shared" si="16"/>
        <v>E2024020</v>
      </c>
      <c r="G347" s="2" t="s">
        <v>490</v>
      </c>
      <c r="H347" s="6" t="s">
        <v>60</v>
      </c>
      <c r="I347" s="6" t="s">
        <v>58</v>
      </c>
      <c r="J347" s="15"/>
      <c r="K347" s="13"/>
      <c r="L347" s="3" t="s">
        <v>831</v>
      </c>
    </row>
    <row r="348" spans="1:12" ht="21.95" customHeight="1">
      <c r="A348" s="1">
        <v>346</v>
      </c>
      <c r="B348" s="2" t="str">
        <f>"黄戌艳"</f>
        <v>黄戌艳</v>
      </c>
      <c r="C348" s="2" t="str">
        <f t="shared" si="17"/>
        <v>女</v>
      </c>
      <c r="D348" s="2" t="s">
        <v>10</v>
      </c>
      <c r="E348" s="2" t="s">
        <v>9</v>
      </c>
      <c r="F348" s="2" t="str">
        <f t="shared" si="16"/>
        <v>E2024020</v>
      </c>
      <c r="G348" s="2" t="s">
        <v>491</v>
      </c>
      <c r="H348" s="6" t="s">
        <v>60</v>
      </c>
      <c r="I348" s="6" t="s">
        <v>36</v>
      </c>
      <c r="J348" s="15"/>
      <c r="K348" s="13"/>
      <c r="L348" s="3" t="s">
        <v>831</v>
      </c>
    </row>
    <row r="349" spans="1:12" ht="21.95" customHeight="1">
      <c r="A349" s="1">
        <v>347</v>
      </c>
      <c r="B349" s="2" t="str">
        <f>"何欢"</f>
        <v>何欢</v>
      </c>
      <c r="C349" s="2" t="str">
        <f t="shared" si="17"/>
        <v>女</v>
      </c>
      <c r="D349" s="2" t="s">
        <v>10</v>
      </c>
      <c r="E349" s="2" t="s">
        <v>9</v>
      </c>
      <c r="F349" s="2" t="str">
        <f t="shared" si="16"/>
        <v>E2024020</v>
      </c>
      <c r="G349" s="2" t="s">
        <v>495</v>
      </c>
      <c r="H349" s="6" t="s">
        <v>60</v>
      </c>
      <c r="I349" s="6" t="s">
        <v>40</v>
      </c>
      <c r="J349" s="15"/>
      <c r="K349" s="13"/>
      <c r="L349" s="3" t="s">
        <v>831</v>
      </c>
    </row>
    <row r="350" spans="1:12" ht="21.95" customHeight="1">
      <c r="A350" s="1">
        <v>348</v>
      </c>
      <c r="B350" s="2" t="str">
        <f>"陈艳"</f>
        <v>陈艳</v>
      </c>
      <c r="C350" s="2" t="str">
        <f t="shared" si="17"/>
        <v>女</v>
      </c>
      <c r="D350" s="2" t="s">
        <v>10</v>
      </c>
      <c r="E350" s="2" t="s">
        <v>9</v>
      </c>
      <c r="F350" s="2" t="str">
        <f t="shared" si="16"/>
        <v>E2024020</v>
      </c>
      <c r="G350" s="2" t="s">
        <v>499</v>
      </c>
      <c r="H350" s="6" t="s">
        <v>60</v>
      </c>
      <c r="I350" s="6" t="s">
        <v>44</v>
      </c>
      <c r="J350" s="15"/>
      <c r="K350" s="13"/>
      <c r="L350" s="3" t="s">
        <v>831</v>
      </c>
    </row>
    <row r="351" spans="1:12" ht="21.95" customHeight="1">
      <c r="A351" s="1">
        <v>349</v>
      </c>
      <c r="B351" s="2" t="str">
        <f>"曾露"</f>
        <v>曾露</v>
      </c>
      <c r="C351" s="2" t="str">
        <f t="shared" si="17"/>
        <v>女</v>
      </c>
      <c r="D351" s="2" t="s">
        <v>10</v>
      </c>
      <c r="E351" s="2" t="s">
        <v>9</v>
      </c>
      <c r="F351" s="2" t="str">
        <f t="shared" si="16"/>
        <v>E2024020</v>
      </c>
      <c r="G351" s="2" t="s">
        <v>500</v>
      </c>
      <c r="H351" s="6" t="s">
        <v>60</v>
      </c>
      <c r="I351" s="6" t="s">
        <v>63</v>
      </c>
      <c r="J351" s="15"/>
      <c r="K351" s="13"/>
      <c r="L351" s="3" t="s">
        <v>831</v>
      </c>
    </row>
    <row r="352" spans="1:12" ht="21.95" customHeight="1">
      <c r="A352" s="1">
        <v>350</v>
      </c>
      <c r="B352" s="2" t="str">
        <f>"陈勤勤"</f>
        <v>陈勤勤</v>
      </c>
      <c r="C352" s="2" t="str">
        <f t="shared" si="17"/>
        <v>女</v>
      </c>
      <c r="D352" s="2" t="s">
        <v>10</v>
      </c>
      <c r="E352" s="2" t="s">
        <v>9</v>
      </c>
      <c r="F352" s="2" t="str">
        <f t="shared" si="16"/>
        <v>E2024020</v>
      </c>
      <c r="G352" s="2" t="s">
        <v>501</v>
      </c>
      <c r="H352" s="6" t="s">
        <v>60</v>
      </c>
      <c r="I352" s="6" t="s">
        <v>46</v>
      </c>
      <c r="J352" s="15"/>
      <c r="K352" s="13"/>
      <c r="L352" s="3" t="s">
        <v>831</v>
      </c>
    </row>
    <row r="353" spans="1:12" ht="21.95" customHeight="1">
      <c r="A353" s="1">
        <v>351</v>
      </c>
      <c r="B353" s="2" t="str">
        <f>"赵焱"</f>
        <v>赵焱</v>
      </c>
      <c r="C353" s="2" t="str">
        <f t="shared" si="17"/>
        <v>女</v>
      </c>
      <c r="D353" s="2" t="s">
        <v>10</v>
      </c>
      <c r="E353" s="2" t="s">
        <v>9</v>
      </c>
      <c r="F353" s="2" t="str">
        <f t="shared" si="16"/>
        <v>E2024020</v>
      </c>
      <c r="G353" s="2" t="s">
        <v>502</v>
      </c>
      <c r="H353" s="6" t="s">
        <v>60</v>
      </c>
      <c r="I353" s="6" t="s">
        <v>64</v>
      </c>
      <c r="J353" s="15"/>
      <c r="K353" s="13"/>
      <c r="L353" s="3" t="s">
        <v>831</v>
      </c>
    </row>
    <row r="354" spans="1:12" ht="21.95" customHeight="1">
      <c r="A354" s="1">
        <v>352</v>
      </c>
      <c r="B354" s="2" t="str">
        <f>"喻玲芬"</f>
        <v>喻玲芬</v>
      </c>
      <c r="C354" s="2" t="str">
        <f t="shared" si="17"/>
        <v>女</v>
      </c>
      <c r="D354" s="2" t="s">
        <v>10</v>
      </c>
      <c r="E354" s="2" t="s">
        <v>9</v>
      </c>
      <c r="F354" s="2" t="str">
        <f t="shared" si="16"/>
        <v>E2024020</v>
      </c>
      <c r="G354" s="2" t="s">
        <v>503</v>
      </c>
      <c r="H354" s="6" t="s">
        <v>60</v>
      </c>
      <c r="I354" s="6" t="s">
        <v>48</v>
      </c>
      <c r="J354" s="15"/>
      <c r="K354" s="13"/>
      <c r="L354" s="3" t="s">
        <v>831</v>
      </c>
    </row>
    <row r="355" spans="1:12" ht="21.95" customHeight="1">
      <c r="A355" s="1">
        <v>353</v>
      </c>
      <c r="B355" s="2" t="str">
        <f>"朱建华"</f>
        <v>朱建华</v>
      </c>
      <c r="C355" s="2" t="str">
        <f t="shared" si="17"/>
        <v>女</v>
      </c>
      <c r="D355" s="2" t="s">
        <v>10</v>
      </c>
      <c r="E355" s="2" t="s">
        <v>9</v>
      </c>
      <c r="F355" s="2" t="str">
        <f t="shared" si="16"/>
        <v>E2024020</v>
      </c>
      <c r="G355" s="2" t="s">
        <v>504</v>
      </c>
      <c r="H355" s="6" t="s">
        <v>60</v>
      </c>
      <c r="I355" s="6" t="s">
        <v>65</v>
      </c>
      <c r="J355" s="15"/>
      <c r="K355" s="13"/>
      <c r="L355" s="3" t="s">
        <v>831</v>
      </c>
    </row>
    <row r="356" spans="1:12" ht="21.95" customHeight="1">
      <c r="A356" s="1">
        <v>354</v>
      </c>
      <c r="B356" s="2" t="str">
        <f>"朱冠霖"</f>
        <v>朱冠霖</v>
      </c>
      <c r="C356" s="2" t="str">
        <f>"男"</f>
        <v>男</v>
      </c>
      <c r="D356" s="2" t="s">
        <v>10</v>
      </c>
      <c r="E356" s="2" t="s">
        <v>9</v>
      </c>
      <c r="F356" s="2" t="str">
        <f t="shared" si="16"/>
        <v>E2024020</v>
      </c>
      <c r="G356" s="2" t="s">
        <v>505</v>
      </c>
      <c r="H356" s="6" t="s">
        <v>60</v>
      </c>
      <c r="I356" s="6" t="s">
        <v>50</v>
      </c>
      <c r="J356" s="15"/>
      <c r="K356" s="13"/>
      <c r="L356" s="3" t="s">
        <v>831</v>
      </c>
    </row>
    <row r="357" spans="1:12" ht="21.95" customHeight="1">
      <c r="A357" s="1">
        <v>355</v>
      </c>
      <c r="B357" s="2" t="str">
        <f>"杨淼"</f>
        <v>杨淼</v>
      </c>
      <c r="C357" s="2" t="str">
        <f>"男"</f>
        <v>男</v>
      </c>
      <c r="D357" s="2" t="s">
        <v>10</v>
      </c>
      <c r="E357" s="2" t="s">
        <v>9</v>
      </c>
      <c r="F357" s="2" t="str">
        <f t="shared" si="16"/>
        <v>E2024020</v>
      </c>
      <c r="G357" s="2" t="s">
        <v>507</v>
      </c>
      <c r="H357" s="6" t="s">
        <v>60</v>
      </c>
      <c r="I357" s="6" t="s">
        <v>52</v>
      </c>
      <c r="J357" s="15"/>
      <c r="K357" s="13"/>
      <c r="L357" s="3" t="s">
        <v>831</v>
      </c>
    </row>
    <row r="358" spans="1:12" ht="21.95" customHeight="1">
      <c r="A358" s="1">
        <v>356</v>
      </c>
      <c r="B358" s="2" t="str">
        <f>"田姗姗"</f>
        <v>田姗姗</v>
      </c>
      <c r="C358" s="2" t="str">
        <f t="shared" ref="C358:C368" si="18">"女"</f>
        <v>女</v>
      </c>
      <c r="D358" s="2" t="s">
        <v>10</v>
      </c>
      <c r="E358" s="2" t="s">
        <v>9</v>
      </c>
      <c r="F358" s="2" t="str">
        <f t="shared" si="16"/>
        <v>E2024020</v>
      </c>
      <c r="G358" s="2" t="s">
        <v>508</v>
      </c>
      <c r="H358" s="6" t="s">
        <v>60</v>
      </c>
      <c r="I358" s="6" t="s">
        <v>67</v>
      </c>
      <c r="J358" s="15"/>
      <c r="K358" s="13"/>
      <c r="L358" s="3" t="s">
        <v>831</v>
      </c>
    </row>
    <row r="359" spans="1:12" ht="21.95" customHeight="1">
      <c r="A359" s="1">
        <v>357</v>
      </c>
      <c r="B359" s="2" t="str">
        <f>"胡智"</f>
        <v>胡智</v>
      </c>
      <c r="C359" s="2" t="str">
        <f t="shared" si="18"/>
        <v>女</v>
      </c>
      <c r="D359" s="2" t="s">
        <v>10</v>
      </c>
      <c r="E359" s="2" t="s">
        <v>9</v>
      </c>
      <c r="F359" s="2" t="str">
        <f t="shared" si="16"/>
        <v>E2024020</v>
      </c>
      <c r="G359" s="2" t="s">
        <v>509</v>
      </c>
      <c r="H359" s="6" t="s">
        <v>60</v>
      </c>
      <c r="I359" s="6" t="s">
        <v>71</v>
      </c>
      <c r="J359" s="15"/>
      <c r="K359" s="13"/>
      <c r="L359" s="3" t="s">
        <v>831</v>
      </c>
    </row>
    <row r="360" spans="1:12" ht="21.95" customHeight="1">
      <c r="A360" s="1">
        <v>358</v>
      </c>
      <c r="B360" s="2" t="str">
        <f>"张贵"</f>
        <v>张贵</v>
      </c>
      <c r="C360" s="2" t="str">
        <f t="shared" si="18"/>
        <v>女</v>
      </c>
      <c r="D360" s="2" t="s">
        <v>10</v>
      </c>
      <c r="E360" s="2" t="s">
        <v>9</v>
      </c>
      <c r="F360" s="2" t="str">
        <f t="shared" si="16"/>
        <v>E2024020</v>
      </c>
      <c r="G360" s="2" t="s">
        <v>511</v>
      </c>
      <c r="H360" s="6" t="s">
        <v>89</v>
      </c>
      <c r="I360" s="6" t="s">
        <v>77</v>
      </c>
      <c r="J360" s="15"/>
      <c r="K360" s="13"/>
      <c r="L360" s="3" t="s">
        <v>831</v>
      </c>
    </row>
    <row r="361" spans="1:12" ht="21.95" customHeight="1">
      <c r="A361" s="1">
        <v>359</v>
      </c>
      <c r="B361" s="2" t="str">
        <f>"田慧兰"</f>
        <v>田慧兰</v>
      </c>
      <c r="C361" s="2" t="str">
        <f t="shared" si="18"/>
        <v>女</v>
      </c>
      <c r="D361" s="2" t="s">
        <v>10</v>
      </c>
      <c r="E361" s="2" t="s">
        <v>9</v>
      </c>
      <c r="F361" s="2" t="str">
        <f t="shared" si="16"/>
        <v>E2024020</v>
      </c>
      <c r="G361" s="2" t="s">
        <v>512</v>
      </c>
      <c r="H361" s="6" t="s">
        <v>89</v>
      </c>
      <c r="I361" s="6" t="s">
        <v>54</v>
      </c>
      <c r="J361" s="15"/>
      <c r="K361" s="13"/>
      <c r="L361" s="3" t="s">
        <v>831</v>
      </c>
    </row>
    <row r="362" spans="1:12" ht="21.95" customHeight="1">
      <c r="A362" s="1">
        <v>360</v>
      </c>
      <c r="B362" s="2" t="str">
        <f>"郑建敏"</f>
        <v>郑建敏</v>
      </c>
      <c r="C362" s="2" t="str">
        <f t="shared" si="18"/>
        <v>女</v>
      </c>
      <c r="D362" s="2" t="s">
        <v>10</v>
      </c>
      <c r="E362" s="2" t="s">
        <v>9</v>
      </c>
      <c r="F362" s="2" t="str">
        <f t="shared" si="16"/>
        <v>E2024020</v>
      </c>
      <c r="G362" s="2" t="s">
        <v>513</v>
      </c>
      <c r="H362" s="6" t="s">
        <v>40</v>
      </c>
      <c r="I362" s="6" t="s">
        <v>28</v>
      </c>
      <c r="J362" s="15"/>
      <c r="K362" s="13"/>
      <c r="L362" s="3" t="s">
        <v>831</v>
      </c>
    </row>
    <row r="363" spans="1:12" ht="21.95" customHeight="1">
      <c r="A363" s="1">
        <v>361</v>
      </c>
      <c r="B363" s="2" t="str">
        <f>"唐维"</f>
        <v>唐维</v>
      </c>
      <c r="C363" s="2" t="str">
        <f t="shared" si="18"/>
        <v>女</v>
      </c>
      <c r="D363" s="2" t="s">
        <v>10</v>
      </c>
      <c r="E363" s="2" t="s">
        <v>9</v>
      </c>
      <c r="F363" s="2" t="str">
        <f t="shared" si="16"/>
        <v>E2024020</v>
      </c>
      <c r="G363" s="2" t="s">
        <v>514</v>
      </c>
      <c r="H363" s="6" t="s">
        <v>40</v>
      </c>
      <c r="I363" s="6" t="s">
        <v>55</v>
      </c>
      <c r="J363" s="15"/>
      <c r="K363" s="13"/>
      <c r="L363" s="3" t="s">
        <v>831</v>
      </c>
    </row>
    <row r="364" spans="1:12" ht="21.95" customHeight="1">
      <c r="A364" s="1">
        <v>362</v>
      </c>
      <c r="B364" s="2" t="str">
        <f>"田雅琴"</f>
        <v>田雅琴</v>
      </c>
      <c r="C364" s="2" t="str">
        <f t="shared" si="18"/>
        <v>女</v>
      </c>
      <c r="D364" s="2" t="s">
        <v>10</v>
      </c>
      <c r="E364" s="2" t="s">
        <v>9</v>
      </c>
      <c r="F364" s="2" t="str">
        <f t="shared" si="16"/>
        <v>E2024020</v>
      </c>
      <c r="G364" s="2" t="s">
        <v>515</v>
      </c>
      <c r="H364" s="6" t="s">
        <v>40</v>
      </c>
      <c r="I364" s="6" t="s">
        <v>30</v>
      </c>
      <c r="J364" s="15"/>
      <c r="K364" s="13"/>
      <c r="L364" s="3" t="s">
        <v>831</v>
      </c>
    </row>
    <row r="365" spans="1:12" ht="21.95" customHeight="1">
      <c r="A365" s="1">
        <v>363</v>
      </c>
      <c r="B365" s="2" t="str">
        <f>"宋姗姗"</f>
        <v>宋姗姗</v>
      </c>
      <c r="C365" s="2" t="str">
        <f t="shared" si="18"/>
        <v>女</v>
      </c>
      <c r="D365" s="2" t="s">
        <v>10</v>
      </c>
      <c r="E365" s="2" t="s">
        <v>9</v>
      </c>
      <c r="F365" s="2" t="str">
        <f t="shared" si="16"/>
        <v>E2024020</v>
      </c>
      <c r="G365" s="2" t="s">
        <v>516</v>
      </c>
      <c r="H365" s="6" t="s">
        <v>40</v>
      </c>
      <c r="I365" s="6" t="s">
        <v>56</v>
      </c>
      <c r="J365" s="15"/>
      <c r="K365" s="13"/>
      <c r="L365" s="3" t="s">
        <v>831</v>
      </c>
    </row>
    <row r="366" spans="1:12" ht="21.95" customHeight="1">
      <c r="A366" s="1">
        <v>364</v>
      </c>
      <c r="B366" s="2" t="str">
        <f>"许林林"</f>
        <v>许林林</v>
      </c>
      <c r="C366" s="2" t="str">
        <f t="shared" si="18"/>
        <v>女</v>
      </c>
      <c r="D366" s="2" t="s">
        <v>10</v>
      </c>
      <c r="E366" s="2" t="s">
        <v>9</v>
      </c>
      <c r="F366" s="2" t="str">
        <f t="shared" si="16"/>
        <v>E2024020</v>
      </c>
      <c r="G366" s="2" t="s">
        <v>517</v>
      </c>
      <c r="H366" s="6" t="s">
        <v>40</v>
      </c>
      <c r="I366" s="6" t="s">
        <v>32</v>
      </c>
      <c r="J366" s="15"/>
      <c r="K366" s="13"/>
      <c r="L366" s="3" t="s">
        <v>831</v>
      </c>
    </row>
    <row r="367" spans="1:12" ht="21.95" customHeight="1">
      <c r="A367" s="1">
        <v>365</v>
      </c>
      <c r="B367" s="2" t="str">
        <f>"向晓玲"</f>
        <v>向晓玲</v>
      </c>
      <c r="C367" s="2" t="str">
        <f t="shared" si="18"/>
        <v>女</v>
      </c>
      <c r="D367" s="2" t="s">
        <v>10</v>
      </c>
      <c r="E367" s="2" t="s">
        <v>9</v>
      </c>
      <c r="F367" s="2" t="str">
        <f t="shared" si="16"/>
        <v>E2024020</v>
      </c>
      <c r="G367" s="2" t="s">
        <v>518</v>
      </c>
      <c r="H367" s="6" t="s">
        <v>40</v>
      </c>
      <c r="I367" s="6" t="s">
        <v>57</v>
      </c>
      <c r="J367" s="15"/>
      <c r="K367" s="13"/>
      <c r="L367" s="3" t="s">
        <v>831</v>
      </c>
    </row>
    <row r="368" spans="1:12" ht="21.95" customHeight="1">
      <c r="A368" s="1">
        <v>366</v>
      </c>
      <c r="B368" s="2" t="str">
        <f>"谭成林"</f>
        <v>谭成林</v>
      </c>
      <c r="C368" s="2" t="str">
        <f t="shared" si="18"/>
        <v>女</v>
      </c>
      <c r="D368" s="2" t="s">
        <v>10</v>
      </c>
      <c r="E368" s="2" t="s">
        <v>9</v>
      </c>
      <c r="F368" s="2" t="str">
        <f t="shared" si="16"/>
        <v>E2024020</v>
      </c>
      <c r="G368" s="2" t="s">
        <v>519</v>
      </c>
      <c r="H368" s="6" t="s">
        <v>40</v>
      </c>
      <c r="I368" s="6" t="s">
        <v>34</v>
      </c>
      <c r="J368" s="15"/>
      <c r="K368" s="13"/>
      <c r="L368" s="3" t="s">
        <v>831</v>
      </c>
    </row>
    <row r="369" spans="1:12" ht="21.95" customHeight="1">
      <c r="A369" s="1">
        <v>367</v>
      </c>
      <c r="B369" s="2" t="str">
        <f>"屈杨"</f>
        <v>屈杨</v>
      </c>
      <c r="C369" s="2" t="str">
        <f>"男"</f>
        <v>男</v>
      </c>
      <c r="D369" s="2" t="s">
        <v>10</v>
      </c>
      <c r="E369" s="2" t="s">
        <v>9</v>
      </c>
      <c r="F369" s="2" t="str">
        <f t="shared" si="16"/>
        <v>E2024020</v>
      </c>
      <c r="G369" s="2" t="s">
        <v>520</v>
      </c>
      <c r="H369" s="6" t="s">
        <v>40</v>
      </c>
      <c r="I369" s="6" t="s">
        <v>58</v>
      </c>
      <c r="J369" s="15"/>
      <c r="K369" s="13"/>
      <c r="L369" s="3" t="s">
        <v>831</v>
      </c>
    </row>
    <row r="370" spans="1:12" ht="21.95" customHeight="1">
      <c r="A370" s="1">
        <v>368</v>
      </c>
      <c r="B370" s="2" t="str">
        <f>"袁天珅"</f>
        <v>袁天珅</v>
      </c>
      <c r="C370" s="2" t="str">
        <f>"男"</f>
        <v>男</v>
      </c>
      <c r="D370" s="2" t="s">
        <v>10</v>
      </c>
      <c r="E370" s="2" t="s">
        <v>9</v>
      </c>
      <c r="F370" s="2" t="str">
        <f t="shared" si="16"/>
        <v>E2024020</v>
      </c>
      <c r="G370" s="2" t="s">
        <v>521</v>
      </c>
      <c r="H370" s="6" t="s">
        <v>40</v>
      </c>
      <c r="I370" s="6" t="s">
        <v>36</v>
      </c>
      <c r="J370" s="15"/>
      <c r="K370" s="13"/>
      <c r="L370" s="3" t="s">
        <v>831</v>
      </c>
    </row>
    <row r="371" spans="1:12" ht="21.95" customHeight="1">
      <c r="A371" s="1">
        <v>369</v>
      </c>
      <c r="B371" s="2" t="str">
        <f>"刘远朝"</f>
        <v>刘远朝</v>
      </c>
      <c r="C371" s="2" t="str">
        <f>"男"</f>
        <v>男</v>
      </c>
      <c r="D371" s="2" t="s">
        <v>11</v>
      </c>
      <c r="E371" s="2" t="s">
        <v>5</v>
      </c>
      <c r="F371" s="2" t="str">
        <f t="shared" ref="F371:F398" si="19">"E2024021"</f>
        <v>E2024021</v>
      </c>
      <c r="G371" s="2" t="s">
        <v>121</v>
      </c>
      <c r="H371" s="6" t="s">
        <v>69</v>
      </c>
      <c r="I371" s="6" t="s">
        <v>48</v>
      </c>
      <c r="J371" s="15">
        <v>83.42</v>
      </c>
      <c r="K371" s="13">
        <v>1</v>
      </c>
      <c r="L371" s="1"/>
    </row>
    <row r="372" spans="1:12" ht="21.95" customHeight="1">
      <c r="A372" s="1">
        <v>370</v>
      </c>
      <c r="B372" s="2" t="str">
        <f>"谭堃"</f>
        <v>谭堃</v>
      </c>
      <c r="C372" s="2" t="str">
        <f>"男"</f>
        <v>男</v>
      </c>
      <c r="D372" s="2" t="s">
        <v>11</v>
      </c>
      <c r="E372" s="2" t="s">
        <v>5</v>
      </c>
      <c r="F372" s="2" t="str">
        <f t="shared" si="19"/>
        <v>E2024021</v>
      </c>
      <c r="G372" s="2" t="s">
        <v>125</v>
      </c>
      <c r="H372" s="6" t="s">
        <v>69</v>
      </c>
      <c r="I372" s="6" t="s">
        <v>52</v>
      </c>
      <c r="J372" s="15">
        <v>80.81</v>
      </c>
      <c r="K372" s="13">
        <v>2</v>
      </c>
      <c r="L372" s="1"/>
    </row>
    <row r="373" spans="1:12" ht="21.95" customHeight="1">
      <c r="A373" s="1">
        <v>371</v>
      </c>
      <c r="B373" s="2" t="str">
        <f>"郑磊"</f>
        <v>郑磊</v>
      </c>
      <c r="C373" s="2" t="str">
        <f>"男"</f>
        <v>男</v>
      </c>
      <c r="D373" s="2" t="s">
        <v>11</v>
      </c>
      <c r="E373" s="2" t="s">
        <v>5</v>
      </c>
      <c r="F373" s="2" t="str">
        <f t="shared" si="19"/>
        <v>E2024021</v>
      </c>
      <c r="G373" s="2" t="s">
        <v>120</v>
      </c>
      <c r="H373" s="6" t="s">
        <v>24</v>
      </c>
      <c r="I373" s="6" t="s">
        <v>64</v>
      </c>
      <c r="J373" s="15">
        <v>76.44</v>
      </c>
      <c r="K373" s="13">
        <v>3</v>
      </c>
      <c r="L373" s="1"/>
    </row>
    <row r="374" spans="1:12" ht="21.95" customHeight="1">
      <c r="A374" s="1">
        <v>372</v>
      </c>
      <c r="B374" s="2" t="str">
        <f>"张靖"</f>
        <v>张靖</v>
      </c>
      <c r="C374" s="2" t="str">
        <f>"女"</f>
        <v>女</v>
      </c>
      <c r="D374" s="2" t="s">
        <v>11</v>
      </c>
      <c r="E374" s="2" t="s">
        <v>5</v>
      </c>
      <c r="F374" s="2" t="str">
        <f t="shared" si="19"/>
        <v>E2024021</v>
      </c>
      <c r="G374" s="2" t="s">
        <v>114</v>
      </c>
      <c r="H374" s="6" t="s">
        <v>24</v>
      </c>
      <c r="I374" s="6" t="s">
        <v>61</v>
      </c>
      <c r="J374" s="15">
        <v>75.31</v>
      </c>
      <c r="K374" s="13">
        <v>4</v>
      </c>
      <c r="L374" s="1"/>
    </row>
    <row r="375" spans="1:12" ht="21.95" customHeight="1">
      <c r="A375" s="1">
        <v>373</v>
      </c>
      <c r="B375" s="2" t="str">
        <f>"张骁"</f>
        <v>张骁</v>
      </c>
      <c r="C375" s="2" t="str">
        <f>"男"</f>
        <v>男</v>
      </c>
      <c r="D375" s="2" t="s">
        <v>11</v>
      </c>
      <c r="E375" s="2" t="s">
        <v>5</v>
      </c>
      <c r="F375" s="2" t="str">
        <f t="shared" si="19"/>
        <v>E2024021</v>
      </c>
      <c r="G375" s="2" t="s">
        <v>110</v>
      </c>
      <c r="H375" s="6" t="s">
        <v>24</v>
      </c>
      <c r="I375" s="6" t="s">
        <v>59</v>
      </c>
      <c r="J375" s="15">
        <v>73.33</v>
      </c>
      <c r="K375" s="13">
        <v>5</v>
      </c>
      <c r="L375" s="1"/>
    </row>
    <row r="376" spans="1:12" ht="21.95" customHeight="1">
      <c r="A376" s="1">
        <v>374</v>
      </c>
      <c r="B376" s="2" t="str">
        <f>"刘文燕"</f>
        <v>刘文燕</v>
      </c>
      <c r="C376" s="2" t="str">
        <f>"女"</f>
        <v>女</v>
      </c>
      <c r="D376" s="2" t="s">
        <v>11</v>
      </c>
      <c r="E376" s="2" t="s">
        <v>5</v>
      </c>
      <c r="F376" s="2" t="str">
        <f t="shared" si="19"/>
        <v>E2024021</v>
      </c>
      <c r="G376" s="2" t="s">
        <v>111</v>
      </c>
      <c r="H376" s="6" t="s">
        <v>69</v>
      </c>
      <c r="I376" s="6" t="s">
        <v>38</v>
      </c>
      <c r="J376" s="15">
        <v>73.08</v>
      </c>
      <c r="K376" s="13">
        <v>6</v>
      </c>
      <c r="L376" s="1"/>
    </row>
    <row r="377" spans="1:12" ht="21.95" customHeight="1">
      <c r="A377" s="1">
        <v>375</v>
      </c>
      <c r="B377" s="2" t="str">
        <f>"彭杰"</f>
        <v>彭杰</v>
      </c>
      <c r="C377" s="2" t="str">
        <f>"女"</f>
        <v>女</v>
      </c>
      <c r="D377" s="2" t="s">
        <v>11</v>
      </c>
      <c r="E377" s="2" t="s">
        <v>5</v>
      </c>
      <c r="F377" s="2" t="str">
        <f t="shared" si="19"/>
        <v>E2024021</v>
      </c>
      <c r="G377" s="2" t="s">
        <v>105</v>
      </c>
      <c r="H377" s="6" t="s">
        <v>69</v>
      </c>
      <c r="I377" s="6" t="s">
        <v>32</v>
      </c>
      <c r="J377" s="15">
        <v>72.12</v>
      </c>
      <c r="K377" s="13">
        <v>7</v>
      </c>
      <c r="L377" s="1"/>
    </row>
    <row r="378" spans="1:12" ht="21.95" customHeight="1">
      <c r="A378" s="1">
        <v>376</v>
      </c>
      <c r="B378" s="2" t="str">
        <f>"向玮玮"</f>
        <v>向玮玮</v>
      </c>
      <c r="C378" s="2" t="str">
        <f>"女"</f>
        <v>女</v>
      </c>
      <c r="D378" s="2" t="s">
        <v>11</v>
      </c>
      <c r="E378" s="2" t="s">
        <v>5</v>
      </c>
      <c r="F378" s="2" t="str">
        <f t="shared" si="19"/>
        <v>E2024021</v>
      </c>
      <c r="G378" s="2" t="s">
        <v>101</v>
      </c>
      <c r="H378" s="6" t="s">
        <v>69</v>
      </c>
      <c r="I378" s="6" t="s">
        <v>28</v>
      </c>
      <c r="J378" s="15">
        <v>71.45</v>
      </c>
      <c r="K378" s="13">
        <v>8</v>
      </c>
      <c r="L378" s="1"/>
    </row>
    <row r="379" spans="1:12" ht="21.95" customHeight="1">
      <c r="A379" s="1">
        <v>377</v>
      </c>
      <c r="B379" s="2" t="str">
        <f>"观生林"</f>
        <v>观生林</v>
      </c>
      <c r="C379" s="2" t="str">
        <f>"男"</f>
        <v>男</v>
      </c>
      <c r="D379" s="2" t="s">
        <v>11</v>
      </c>
      <c r="E379" s="2" t="s">
        <v>5</v>
      </c>
      <c r="F379" s="2" t="str">
        <f t="shared" si="19"/>
        <v>E2024021</v>
      </c>
      <c r="G379" s="2" t="s">
        <v>117</v>
      </c>
      <c r="H379" s="6" t="s">
        <v>69</v>
      </c>
      <c r="I379" s="6" t="s">
        <v>44</v>
      </c>
      <c r="J379" s="15">
        <v>70.290000000000006</v>
      </c>
      <c r="K379" s="13">
        <v>9</v>
      </c>
      <c r="L379" s="1"/>
    </row>
    <row r="380" spans="1:12" ht="21.95" customHeight="1">
      <c r="A380" s="1">
        <v>378</v>
      </c>
      <c r="B380" s="2" t="str">
        <f>"王涛"</f>
        <v>王涛</v>
      </c>
      <c r="C380" s="2" t="str">
        <f>"女"</f>
        <v>女</v>
      </c>
      <c r="D380" s="2" t="s">
        <v>11</v>
      </c>
      <c r="E380" s="2" t="s">
        <v>5</v>
      </c>
      <c r="F380" s="2" t="str">
        <f t="shared" si="19"/>
        <v>E2024021</v>
      </c>
      <c r="G380" s="2" t="s">
        <v>100</v>
      </c>
      <c r="H380" s="6" t="s">
        <v>25</v>
      </c>
      <c r="I380" s="6" t="s">
        <v>54</v>
      </c>
      <c r="J380" s="15">
        <v>67.45</v>
      </c>
      <c r="K380" s="13">
        <v>10</v>
      </c>
      <c r="L380" s="1"/>
    </row>
    <row r="381" spans="1:12" ht="21.95" customHeight="1">
      <c r="A381" s="1">
        <v>379</v>
      </c>
      <c r="B381" s="2" t="str">
        <f>"张青洪"</f>
        <v>张青洪</v>
      </c>
      <c r="C381" s="2" t="str">
        <f>"女"</f>
        <v>女</v>
      </c>
      <c r="D381" s="2" t="s">
        <v>11</v>
      </c>
      <c r="E381" s="2" t="s">
        <v>5</v>
      </c>
      <c r="F381" s="2" t="str">
        <f t="shared" si="19"/>
        <v>E2024021</v>
      </c>
      <c r="G381" s="2" t="s">
        <v>113</v>
      </c>
      <c r="H381" s="6" t="s">
        <v>69</v>
      </c>
      <c r="I381" s="6" t="s">
        <v>40</v>
      </c>
      <c r="J381" s="15">
        <v>61.89</v>
      </c>
      <c r="K381" s="13">
        <v>11</v>
      </c>
      <c r="L381" s="1"/>
    </row>
    <row r="382" spans="1:12" ht="21.95" customHeight="1">
      <c r="A382" s="1">
        <v>380</v>
      </c>
      <c r="B382" s="2" t="str">
        <f>"白勤玲"</f>
        <v>白勤玲</v>
      </c>
      <c r="C382" s="2" t="str">
        <f>"女"</f>
        <v>女</v>
      </c>
      <c r="D382" s="2" t="s">
        <v>11</v>
      </c>
      <c r="E382" s="2" t="s">
        <v>5</v>
      </c>
      <c r="F382" s="2" t="str">
        <f t="shared" si="19"/>
        <v>E2024021</v>
      </c>
      <c r="G382" s="2" t="s">
        <v>118</v>
      </c>
      <c r="H382" s="6" t="s">
        <v>24</v>
      </c>
      <c r="I382" s="6" t="s">
        <v>63</v>
      </c>
      <c r="J382" s="15">
        <v>60.04</v>
      </c>
      <c r="K382" s="13">
        <v>12</v>
      </c>
      <c r="L382" s="1"/>
    </row>
    <row r="383" spans="1:12" ht="21.95" customHeight="1">
      <c r="A383" s="1">
        <v>381</v>
      </c>
      <c r="B383" s="2" t="str">
        <f>"李莉丹"</f>
        <v>李莉丹</v>
      </c>
      <c r="C383" s="2" t="str">
        <f>"女"</f>
        <v>女</v>
      </c>
      <c r="D383" s="2" t="s">
        <v>11</v>
      </c>
      <c r="E383" s="2" t="s">
        <v>5</v>
      </c>
      <c r="F383" s="2" t="str">
        <f t="shared" si="19"/>
        <v>E2024021</v>
      </c>
      <c r="G383" s="2" t="s">
        <v>115</v>
      </c>
      <c r="H383" s="6" t="s">
        <v>69</v>
      </c>
      <c r="I383" s="6" t="s">
        <v>42</v>
      </c>
      <c r="J383" s="15">
        <v>57.29</v>
      </c>
      <c r="K383" s="13">
        <v>13</v>
      </c>
      <c r="L383" s="1"/>
    </row>
    <row r="384" spans="1:12" ht="21.95" customHeight="1">
      <c r="A384" s="1">
        <v>382</v>
      </c>
      <c r="B384" s="2" t="str">
        <f>"范林峰"</f>
        <v>范林峰</v>
      </c>
      <c r="C384" s="2" t="str">
        <f>"男"</f>
        <v>男</v>
      </c>
      <c r="D384" s="2" t="s">
        <v>11</v>
      </c>
      <c r="E384" s="2" t="s">
        <v>5</v>
      </c>
      <c r="F384" s="2" t="str">
        <f t="shared" si="19"/>
        <v>E2024021</v>
      </c>
      <c r="G384" s="2">
        <v>20240210101</v>
      </c>
      <c r="H384" s="6" t="s">
        <v>26</v>
      </c>
      <c r="I384" s="6" t="s">
        <v>26</v>
      </c>
      <c r="J384" s="15"/>
      <c r="K384" s="13"/>
      <c r="L384" s="3" t="s">
        <v>831</v>
      </c>
    </row>
    <row r="385" spans="1:12" ht="21.95" customHeight="1">
      <c r="A385" s="1">
        <v>383</v>
      </c>
      <c r="B385" s="2" t="str">
        <f>"龚尧"</f>
        <v>龚尧</v>
      </c>
      <c r="C385" s="2" t="str">
        <f>"男"</f>
        <v>男</v>
      </c>
      <c r="D385" s="2" t="s">
        <v>11</v>
      </c>
      <c r="E385" s="2" t="s">
        <v>5</v>
      </c>
      <c r="F385" s="2" t="str">
        <f t="shared" si="19"/>
        <v>E2024021</v>
      </c>
      <c r="G385" s="2" t="s">
        <v>102</v>
      </c>
      <c r="H385" s="6" t="s">
        <v>24</v>
      </c>
      <c r="I385" s="6" t="s">
        <v>55</v>
      </c>
      <c r="J385" s="15"/>
      <c r="K385" s="13"/>
      <c r="L385" s="3" t="s">
        <v>831</v>
      </c>
    </row>
    <row r="386" spans="1:12" ht="21.95" customHeight="1">
      <c r="A386" s="1">
        <v>384</v>
      </c>
      <c r="B386" s="2" t="str">
        <f>"杨润"</f>
        <v>杨润</v>
      </c>
      <c r="C386" s="2" t="str">
        <f>"女"</f>
        <v>女</v>
      </c>
      <c r="D386" s="2" t="s">
        <v>11</v>
      </c>
      <c r="E386" s="2" t="s">
        <v>5</v>
      </c>
      <c r="F386" s="2" t="str">
        <f t="shared" si="19"/>
        <v>E2024021</v>
      </c>
      <c r="G386" s="2" t="s">
        <v>103</v>
      </c>
      <c r="H386" s="6" t="s">
        <v>69</v>
      </c>
      <c r="I386" s="6" t="s">
        <v>30</v>
      </c>
      <c r="J386" s="15"/>
      <c r="K386" s="13"/>
      <c r="L386" s="3" t="s">
        <v>831</v>
      </c>
    </row>
    <row r="387" spans="1:12" ht="21.95" customHeight="1">
      <c r="A387" s="1">
        <v>385</v>
      </c>
      <c r="B387" s="2" t="str">
        <f>"杨海波"</f>
        <v>杨海波</v>
      </c>
      <c r="C387" s="2" t="str">
        <f>"男"</f>
        <v>男</v>
      </c>
      <c r="D387" s="2" t="s">
        <v>11</v>
      </c>
      <c r="E387" s="2" t="s">
        <v>5</v>
      </c>
      <c r="F387" s="2" t="str">
        <f t="shared" si="19"/>
        <v>E2024021</v>
      </c>
      <c r="G387" s="2" t="s">
        <v>104</v>
      </c>
      <c r="H387" s="6" t="s">
        <v>24</v>
      </c>
      <c r="I387" s="6" t="s">
        <v>56</v>
      </c>
      <c r="J387" s="15"/>
      <c r="K387" s="13"/>
      <c r="L387" s="3" t="s">
        <v>831</v>
      </c>
    </row>
    <row r="388" spans="1:12" ht="21.95" customHeight="1">
      <c r="A388" s="1">
        <v>386</v>
      </c>
      <c r="B388" s="2" t="str">
        <f>"宋朝芝"</f>
        <v>宋朝芝</v>
      </c>
      <c r="C388" s="2" t="str">
        <f>"女"</f>
        <v>女</v>
      </c>
      <c r="D388" s="2" t="s">
        <v>11</v>
      </c>
      <c r="E388" s="2" t="s">
        <v>5</v>
      </c>
      <c r="F388" s="2" t="str">
        <f t="shared" si="19"/>
        <v>E2024021</v>
      </c>
      <c r="G388" s="2" t="s">
        <v>106</v>
      </c>
      <c r="H388" s="6" t="s">
        <v>24</v>
      </c>
      <c r="I388" s="6" t="s">
        <v>57</v>
      </c>
      <c r="J388" s="15"/>
      <c r="K388" s="13"/>
      <c r="L388" s="3" t="s">
        <v>831</v>
      </c>
    </row>
    <row r="389" spans="1:12" ht="21.95" customHeight="1">
      <c r="A389" s="1">
        <v>387</v>
      </c>
      <c r="B389" s="2" t="str">
        <f>"林炜"</f>
        <v>林炜</v>
      </c>
      <c r="C389" s="2" t="str">
        <f>"男"</f>
        <v>男</v>
      </c>
      <c r="D389" s="2" t="s">
        <v>11</v>
      </c>
      <c r="E389" s="2" t="s">
        <v>5</v>
      </c>
      <c r="F389" s="2" t="str">
        <f t="shared" si="19"/>
        <v>E2024021</v>
      </c>
      <c r="G389" s="2" t="s">
        <v>107</v>
      </c>
      <c r="H389" s="6" t="s">
        <v>69</v>
      </c>
      <c r="I389" s="6" t="s">
        <v>34</v>
      </c>
      <c r="J389" s="15"/>
      <c r="K389" s="13"/>
      <c r="L389" s="3" t="s">
        <v>831</v>
      </c>
    </row>
    <row r="390" spans="1:12" ht="21.95" customHeight="1">
      <c r="A390" s="1">
        <v>388</v>
      </c>
      <c r="B390" s="2" t="str">
        <f>"张克楠"</f>
        <v>张克楠</v>
      </c>
      <c r="C390" s="2" t="str">
        <f>"男"</f>
        <v>男</v>
      </c>
      <c r="D390" s="2" t="s">
        <v>11</v>
      </c>
      <c r="E390" s="2" t="s">
        <v>5</v>
      </c>
      <c r="F390" s="2" t="str">
        <f t="shared" si="19"/>
        <v>E2024021</v>
      </c>
      <c r="G390" s="2" t="s">
        <v>108</v>
      </c>
      <c r="H390" s="6" t="s">
        <v>24</v>
      </c>
      <c r="I390" s="6" t="s">
        <v>58</v>
      </c>
      <c r="J390" s="15"/>
      <c r="K390" s="13"/>
      <c r="L390" s="3" t="s">
        <v>831</v>
      </c>
    </row>
    <row r="391" spans="1:12" ht="21.95" customHeight="1">
      <c r="A391" s="1">
        <v>389</v>
      </c>
      <c r="B391" s="2" t="str">
        <f>"杨欢"</f>
        <v>杨欢</v>
      </c>
      <c r="C391" s="2" t="str">
        <f>"女"</f>
        <v>女</v>
      </c>
      <c r="D391" s="2" t="s">
        <v>11</v>
      </c>
      <c r="E391" s="2" t="s">
        <v>5</v>
      </c>
      <c r="F391" s="2" t="str">
        <f t="shared" si="19"/>
        <v>E2024021</v>
      </c>
      <c r="G391" s="2" t="s">
        <v>109</v>
      </c>
      <c r="H391" s="6" t="s">
        <v>69</v>
      </c>
      <c r="I391" s="6" t="s">
        <v>36</v>
      </c>
      <c r="J391" s="15"/>
      <c r="K391" s="13"/>
      <c r="L391" s="3" t="s">
        <v>831</v>
      </c>
    </row>
    <row r="392" spans="1:12" ht="21.95" customHeight="1">
      <c r="A392" s="1">
        <v>390</v>
      </c>
      <c r="B392" s="2" t="str">
        <f>"翟进"</f>
        <v>翟进</v>
      </c>
      <c r="C392" s="2" t="str">
        <f>"男"</f>
        <v>男</v>
      </c>
      <c r="D392" s="2" t="s">
        <v>11</v>
      </c>
      <c r="E392" s="2" t="s">
        <v>5</v>
      </c>
      <c r="F392" s="2" t="str">
        <f t="shared" si="19"/>
        <v>E2024021</v>
      </c>
      <c r="G392" s="2" t="s">
        <v>112</v>
      </c>
      <c r="H392" s="6" t="s">
        <v>24</v>
      </c>
      <c r="I392" s="6" t="s">
        <v>60</v>
      </c>
      <c r="J392" s="15"/>
      <c r="K392" s="13"/>
      <c r="L392" s="3" t="s">
        <v>831</v>
      </c>
    </row>
    <row r="393" spans="1:12" ht="21.95" customHeight="1">
      <c r="A393" s="1">
        <v>391</v>
      </c>
      <c r="B393" s="2" t="str">
        <f>"吴云珍"</f>
        <v>吴云珍</v>
      </c>
      <c r="C393" s="2" t="str">
        <f>"女"</f>
        <v>女</v>
      </c>
      <c r="D393" s="2" t="s">
        <v>11</v>
      </c>
      <c r="E393" s="2" t="s">
        <v>5</v>
      </c>
      <c r="F393" s="2" t="str">
        <f t="shared" si="19"/>
        <v>E2024021</v>
      </c>
      <c r="G393" s="2" t="s">
        <v>116</v>
      </c>
      <c r="H393" s="6" t="s">
        <v>24</v>
      </c>
      <c r="I393" s="6" t="s">
        <v>62</v>
      </c>
      <c r="J393" s="15"/>
      <c r="K393" s="13"/>
      <c r="L393" s="3" t="s">
        <v>831</v>
      </c>
    </row>
    <row r="394" spans="1:12" ht="21.95" customHeight="1">
      <c r="A394" s="1">
        <v>392</v>
      </c>
      <c r="B394" s="2" t="str">
        <f>"秦雨佳"</f>
        <v>秦雨佳</v>
      </c>
      <c r="C394" s="2" t="str">
        <f>"女"</f>
        <v>女</v>
      </c>
      <c r="D394" s="2" t="s">
        <v>11</v>
      </c>
      <c r="E394" s="2" t="s">
        <v>5</v>
      </c>
      <c r="F394" s="2" t="str">
        <f t="shared" si="19"/>
        <v>E2024021</v>
      </c>
      <c r="G394" s="2" t="s">
        <v>119</v>
      </c>
      <c r="H394" s="6" t="s">
        <v>69</v>
      </c>
      <c r="I394" s="6" t="s">
        <v>46</v>
      </c>
      <c r="J394" s="15"/>
      <c r="K394" s="13"/>
      <c r="L394" s="3" t="s">
        <v>831</v>
      </c>
    </row>
    <row r="395" spans="1:12" ht="21.95" customHeight="1">
      <c r="A395" s="1">
        <v>393</v>
      </c>
      <c r="B395" s="2" t="str">
        <f>"马桦林"</f>
        <v>马桦林</v>
      </c>
      <c r="C395" s="2" t="str">
        <f>"男"</f>
        <v>男</v>
      </c>
      <c r="D395" s="2" t="s">
        <v>11</v>
      </c>
      <c r="E395" s="2" t="s">
        <v>5</v>
      </c>
      <c r="F395" s="2" t="str">
        <f t="shared" si="19"/>
        <v>E2024021</v>
      </c>
      <c r="G395" s="2" t="s">
        <v>122</v>
      </c>
      <c r="H395" s="6" t="s">
        <v>24</v>
      </c>
      <c r="I395" s="6" t="s">
        <v>65</v>
      </c>
      <c r="J395" s="15"/>
      <c r="K395" s="13"/>
      <c r="L395" s="3" t="s">
        <v>831</v>
      </c>
    </row>
    <row r="396" spans="1:12" ht="21.95" customHeight="1">
      <c r="A396" s="1">
        <v>394</v>
      </c>
      <c r="B396" s="2" t="str">
        <f>"陈忠基"</f>
        <v>陈忠基</v>
      </c>
      <c r="C396" s="2" t="str">
        <f>"男"</f>
        <v>男</v>
      </c>
      <c r="D396" s="2" t="s">
        <v>11</v>
      </c>
      <c r="E396" s="2" t="s">
        <v>5</v>
      </c>
      <c r="F396" s="2" t="str">
        <f t="shared" si="19"/>
        <v>E2024021</v>
      </c>
      <c r="G396" s="2" t="s">
        <v>123</v>
      </c>
      <c r="H396" s="6" t="s">
        <v>69</v>
      </c>
      <c r="I396" s="6" t="s">
        <v>50</v>
      </c>
      <c r="J396" s="15"/>
      <c r="K396" s="13"/>
      <c r="L396" s="3" t="s">
        <v>831</v>
      </c>
    </row>
    <row r="397" spans="1:12" ht="21.95" customHeight="1">
      <c r="A397" s="1">
        <v>395</v>
      </c>
      <c r="B397" s="2" t="str">
        <f>"贺鑫"</f>
        <v>贺鑫</v>
      </c>
      <c r="C397" s="2" t="str">
        <f>"女"</f>
        <v>女</v>
      </c>
      <c r="D397" s="2" t="s">
        <v>11</v>
      </c>
      <c r="E397" s="2" t="s">
        <v>5</v>
      </c>
      <c r="F397" s="2" t="str">
        <f t="shared" si="19"/>
        <v>E2024021</v>
      </c>
      <c r="G397" s="2" t="s">
        <v>124</v>
      </c>
      <c r="H397" s="6" t="s">
        <v>24</v>
      </c>
      <c r="I397" s="6" t="s">
        <v>66</v>
      </c>
      <c r="J397" s="15"/>
      <c r="K397" s="13"/>
      <c r="L397" s="3" t="s">
        <v>831</v>
      </c>
    </row>
    <row r="398" spans="1:12" ht="21.95" customHeight="1">
      <c r="A398" s="1">
        <v>396</v>
      </c>
      <c r="B398" s="2" t="str">
        <f>"曾彬"</f>
        <v>曾彬</v>
      </c>
      <c r="C398" s="2" t="str">
        <f>"男"</f>
        <v>男</v>
      </c>
      <c r="D398" s="2" t="s">
        <v>11</v>
      </c>
      <c r="E398" s="2" t="s">
        <v>5</v>
      </c>
      <c r="F398" s="2" t="str">
        <f t="shared" si="19"/>
        <v>E2024021</v>
      </c>
      <c r="G398" s="2" t="s">
        <v>126</v>
      </c>
      <c r="H398" s="6" t="s">
        <v>24</v>
      </c>
      <c r="I398" s="6" t="s">
        <v>67</v>
      </c>
      <c r="J398" s="15"/>
      <c r="K398" s="13"/>
      <c r="L398" s="3" t="s">
        <v>831</v>
      </c>
    </row>
    <row r="399" spans="1:12" ht="21.95" customHeight="1">
      <c r="A399" s="1">
        <v>397</v>
      </c>
      <c r="B399" s="2" t="str">
        <f>"吕宗康"</f>
        <v>吕宗康</v>
      </c>
      <c r="C399" s="2" t="str">
        <f>"男"</f>
        <v>男</v>
      </c>
      <c r="D399" s="2" t="s">
        <v>11</v>
      </c>
      <c r="E399" s="2" t="s">
        <v>12</v>
      </c>
      <c r="F399" s="2" t="str">
        <f t="shared" ref="F399:F430" si="20">"E2024022"</f>
        <v>E2024022</v>
      </c>
      <c r="G399" s="2" t="s">
        <v>559</v>
      </c>
      <c r="H399" s="6" t="s">
        <v>61</v>
      </c>
      <c r="I399" s="6" t="s">
        <v>44</v>
      </c>
      <c r="J399" s="15">
        <v>81.75</v>
      </c>
      <c r="K399" s="13">
        <v>1</v>
      </c>
      <c r="L399" s="1"/>
    </row>
    <row r="400" spans="1:12" ht="21.95" customHeight="1">
      <c r="A400" s="1">
        <v>398</v>
      </c>
      <c r="B400" s="2" t="str">
        <f>"韦玮"</f>
        <v>韦玮</v>
      </c>
      <c r="C400" s="2" t="str">
        <f>"女"</f>
        <v>女</v>
      </c>
      <c r="D400" s="2" t="s">
        <v>11</v>
      </c>
      <c r="E400" s="2" t="s">
        <v>12</v>
      </c>
      <c r="F400" s="2" t="str">
        <f t="shared" si="20"/>
        <v>E2024022</v>
      </c>
      <c r="G400" s="2" t="s">
        <v>534</v>
      </c>
      <c r="H400" s="6" t="s">
        <v>40</v>
      </c>
      <c r="I400" s="6" t="s">
        <v>65</v>
      </c>
      <c r="J400" s="15">
        <v>81.099999999999994</v>
      </c>
      <c r="K400" s="13">
        <v>2</v>
      </c>
      <c r="L400" s="1"/>
    </row>
    <row r="401" spans="1:12" ht="21.95" customHeight="1">
      <c r="A401" s="1">
        <v>399</v>
      </c>
      <c r="B401" s="2" t="str">
        <f>"王顺疆"</f>
        <v>王顺疆</v>
      </c>
      <c r="C401" s="2" t="str">
        <f>"男"</f>
        <v>男</v>
      </c>
      <c r="D401" s="2" t="s">
        <v>11</v>
      </c>
      <c r="E401" s="2" t="s">
        <v>12</v>
      </c>
      <c r="F401" s="2" t="str">
        <f t="shared" si="20"/>
        <v>E2024022</v>
      </c>
      <c r="G401" s="2" t="s">
        <v>529</v>
      </c>
      <c r="H401" s="6" t="s">
        <v>40</v>
      </c>
      <c r="I401" s="6" t="s">
        <v>44</v>
      </c>
      <c r="J401" s="15">
        <v>80.38</v>
      </c>
      <c r="K401" s="13">
        <v>3</v>
      </c>
      <c r="L401" s="1"/>
    </row>
    <row r="402" spans="1:12" ht="21.95" customHeight="1">
      <c r="A402" s="1">
        <v>400</v>
      </c>
      <c r="B402" s="2" t="str">
        <f>"胡星怡"</f>
        <v>胡星怡</v>
      </c>
      <c r="C402" s="2" t="str">
        <f>"女"</f>
        <v>女</v>
      </c>
      <c r="D402" s="2" t="s">
        <v>11</v>
      </c>
      <c r="E402" s="2" t="s">
        <v>12</v>
      </c>
      <c r="F402" s="2" t="str">
        <f t="shared" si="20"/>
        <v>E2024022</v>
      </c>
      <c r="G402" s="2" t="s">
        <v>541</v>
      </c>
      <c r="H402" s="6" t="s">
        <v>90</v>
      </c>
      <c r="I402" s="6" t="s">
        <v>26</v>
      </c>
      <c r="J402" s="15">
        <v>78.709999999999994</v>
      </c>
      <c r="K402" s="13">
        <v>4</v>
      </c>
      <c r="L402" s="1"/>
    </row>
    <row r="403" spans="1:12" ht="21.95" customHeight="1">
      <c r="A403" s="1">
        <v>401</v>
      </c>
      <c r="B403" s="2" t="str">
        <f>"王叶辰"</f>
        <v>王叶辰</v>
      </c>
      <c r="C403" s="2" t="str">
        <f>"男"</f>
        <v>男</v>
      </c>
      <c r="D403" s="2" t="s">
        <v>11</v>
      </c>
      <c r="E403" s="2" t="s">
        <v>12</v>
      </c>
      <c r="F403" s="2" t="str">
        <f t="shared" si="20"/>
        <v>E2024022</v>
      </c>
      <c r="G403" s="2" t="s">
        <v>532</v>
      </c>
      <c r="H403" s="6" t="s">
        <v>40</v>
      </c>
      <c r="I403" s="6" t="s">
        <v>64</v>
      </c>
      <c r="J403" s="15">
        <v>77.95</v>
      </c>
      <c r="K403" s="13">
        <v>5</v>
      </c>
      <c r="L403" s="1"/>
    </row>
    <row r="404" spans="1:12" ht="21.95" customHeight="1">
      <c r="A404" s="1">
        <v>402</v>
      </c>
      <c r="B404" s="2" t="str">
        <f>"黄祥枚"</f>
        <v>黄祥枚</v>
      </c>
      <c r="C404" s="2" t="str">
        <f t="shared" ref="C404:C411" si="21">"女"</f>
        <v>女</v>
      </c>
      <c r="D404" s="2" t="s">
        <v>11</v>
      </c>
      <c r="E404" s="2" t="s">
        <v>12</v>
      </c>
      <c r="F404" s="2" t="str">
        <f t="shared" si="20"/>
        <v>E2024022</v>
      </c>
      <c r="G404" s="2" t="s">
        <v>586</v>
      </c>
      <c r="H404" s="6" t="s">
        <v>42</v>
      </c>
      <c r="I404" s="6" t="s">
        <v>61</v>
      </c>
      <c r="J404" s="15">
        <v>77.150000000000006</v>
      </c>
      <c r="K404" s="13">
        <v>6</v>
      </c>
      <c r="L404" s="1"/>
    </row>
    <row r="405" spans="1:12" ht="21.95" customHeight="1">
      <c r="A405" s="1">
        <v>403</v>
      </c>
      <c r="B405" s="2" t="str">
        <f>"董歆"</f>
        <v>董歆</v>
      </c>
      <c r="C405" s="2" t="str">
        <f t="shared" si="21"/>
        <v>女</v>
      </c>
      <c r="D405" s="2" t="s">
        <v>11</v>
      </c>
      <c r="E405" s="2" t="s">
        <v>12</v>
      </c>
      <c r="F405" s="2" t="str">
        <f t="shared" si="20"/>
        <v>E2024022</v>
      </c>
      <c r="G405" s="2" t="s">
        <v>599</v>
      </c>
      <c r="H405" s="6" t="s">
        <v>42</v>
      </c>
      <c r="I405" s="6" t="s">
        <v>71</v>
      </c>
      <c r="J405" s="15">
        <v>76.099999999999994</v>
      </c>
      <c r="K405" s="13">
        <v>7</v>
      </c>
      <c r="L405" s="1"/>
    </row>
    <row r="406" spans="1:12" ht="21.95" customHeight="1">
      <c r="A406" s="1">
        <v>404</v>
      </c>
      <c r="B406" s="2" t="str">
        <f>"谢琴琴"</f>
        <v>谢琴琴</v>
      </c>
      <c r="C406" s="2" t="str">
        <f t="shared" si="21"/>
        <v>女</v>
      </c>
      <c r="D406" s="2" t="s">
        <v>11</v>
      </c>
      <c r="E406" s="2" t="s">
        <v>12</v>
      </c>
      <c r="F406" s="2" t="str">
        <f t="shared" si="20"/>
        <v>E2024022</v>
      </c>
      <c r="G406" s="2" t="s">
        <v>580</v>
      </c>
      <c r="H406" s="6" t="s">
        <v>42</v>
      </c>
      <c r="I406" s="6" t="s">
        <v>58</v>
      </c>
      <c r="J406" s="15">
        <v>74.099999999999994</v>
      </c>
      <c r="K406" s="13">
        <v>8</v>
      </c>
      <c r="L406" s="1"/>
    </row>
    <row r="407" spans="1:12" ht="21.95" customHeight="1">
      <c r="A407" s="1">
        <v>405</v>
      </c>
      <c r="B407" s="2" t="str">
        <f>"张璇"</f>
        <v>张璇</v>
      </c>
      <c r="C407" s="2" t="str">
        <f t="shared" si="21"/>
        <v>女</v>
      </c>
      <c r="D407" s="2" t="s">
        <v>11</v>
      </c>
      <c r="E407" s="2" t="s">
        <v>12</v>
      </c>
      <c r="F407" s="2" t="str">
        <f t="shared" si="20"/>
        <v>E2024022</v>
      </c>
      <c r="G407" s="2" t="s">
        <v>617</v>
      </c>
      <c r="H407" s="6" t="s">
        <v>62</v>
      </c>
      <c r="I407" s="6" t="s">
        <v>42</v>
      </c>
      <c r="J407" s="15">
        <v>72.72</v>
      </c>
      <c r="K407" s="13">
        <v>9</v>
      </c>
      <c r="L407" s="1"/>
    </row>
    <row r="408" spans="1:12" ht="21.95" customHeight="1">
      <c r="A408" s="1">
        <v>406</v>
      </c>
      <c r="B408" s="2" t="str">
        <f>"李玲"</f>
        <v>李玲</v>
      </c>
      <c r="C408" s="2" t="str">
        <f t="shared" si="21"/>
        <v>女</v>
      </c>
      <c r="D408" s="2" t="s">
        <v>11</v>
      </c>
      <c r="E408" s="2" t="s">
        <v>12</v>
      </c>
      <c r="F408" s="2" t="str">
        <f t="shared" si="20"/>
        <v>E2024022</v>
      </c>
      <c r="G408" s="2" t="s">
        <v>620</v>
      </c>
      <c r="H408" s="6" t="s">
        <v>62</v>
      </c>
      <c r="I408" s="6" t="s">
        <v>63</v>
      </c>
      <c r="J408" s="15">
        <v>71.52</v>
      </c>
      <c r="K408" s="13">
        <v>10</v>
      </c>
      <c r="L408" s="1"/>
    </row>
    <row r="409" spans="1:12" ht="21.95" customHeight="1">
      <c r="A409" s="1">
        <v>407</v>
      </c>
      <c r="B409" s="2" t="str">
        <f>"刘高洁"</f>
        <v>刘高洁</v>
      </c>
      <c r="C409" s="2" t="str">
        <f t="shared" si="21"/>
        <v>女</v>
      </c>
      <c r="D409" s="2" t="s">
        <v>11</v>
      </c>
      <c r="E409" s="2" t="s">
        <v>12</v>
      </c>
      <c r="F409" s="2" t="str">
        <f t="shared" si="20"/>
        <v>E2024022</v>
      </c>
      <c r="G409" s="2" t="s">
        <v>528</v>
      </c>
      <c r="H409" s="6" t="s">
        <v>40</v>
      </c>
      <c r="I409" s="6" t="s">
        <v>62</v>
      </c>
      <c r="J409" s="15">
        <v>71.44</v>
      </c>
      <c r="K409" s="13">
        <v>11</v>
      </c>
      <c r="L409" s="1"/>
    </row>
    <row r="410" spans="1:12" ht="21.95" customHeight="1">
      <c r="A410" s="1">
        <v>408</v>
      </c>
      <c r="B410" s="2" t="str">
        <f>"黄渝婷"</f>
        <v>黄渝婷</v>
      </c>
      <c r="C410" s="2" t="str">
        <f t="shared" si="21"/>
        <v>女</v>
      </c>
      <c r="D410" s="2" t="s">
        <v>11</v>
      </c>
      <c r="E410" s="2" t="s">
        <v>12</v>
      </c>
      <c r="F410" s="2" t="str">
        <f t="shared" si="20"/>
        <v>E2024022</v>
      </c>
      <c r="G410" s="2" t="s">
        <v>557</v>
      </c>
      <c r="H410" s="6" t="s">
        <v>61</v>
      </c>
      <c r="I410" s="6" t="s">
        <v>42</v>
      </c>
      <c r="J410" s="15">
        <v>71.239999999999995</v>
      </c>
      <c r="K410" s="13">
        <v>12</v>
      </c>
      <c r="L410" s="1"/>
    </row>
    <row r="411" spans="1:12" ht="21.95" customHeight="1">
      <c r="A411" s="1">
        <v>409</v>
      </c>
      <c r="B411" s="2" t="str">
        <f>"周耀鑫"</f>
        <v>周耀鑫</v>
      </c>
      <c r="C411" s="2" t="str">
        <f t="shared" si="21"/>
        <v>女</v>
      </c>
      <c r="D411" s="2" t="s">
        <v>11</v>
      </c>
      <c r="E411" s="2" t="s">
        <v>12</v>
      </c>
      <c r="F411" s="2" t="str">
        <f t="shared" si="20"/>
        <v>E2024022</v>
      </c>
      <c r="G411" s="2" t="s">
        <v>551</v>
      </c>
      <c r="H411" s="6" t="s">
        <v>61</v>
      </c>
      <c r="I411" s="6" t="s">
        <v>36</v>
      </c>
      <c r="J411" s="15">
        <v>71.010000000000005</v>
      </c>
      <c r="K411" s="13">
        <v>13</v>
      </c>
      <c r="L411" s="1"/>
    </row>
    <row r="412" spans="1:12" ht="21.95" customHeight="1">
      <c r="A412" s="1">
        <v>410</v>
      </c>
      <c r="B412" s="2" t="str">
        <f>"陈冬生"</f>
        <v>陈冬生</v>
      </c>
      <c r="C412" s="2" t="str">
        <f>"男"</f>
        <v>男</v>
      </c>
      <c r="D412" s="2" t="s">
        <v>11</v>
      </c>
      <c r="E412" s="2" t="s">
        <v>12</v>
      </c>
      <c r="F412" s="2" t="str">
        <f t="shared" si="20"/>
        <v>E2024022</v>
      </c>
      <c r="G412" s="2" t="s">
        <v>628</v>
      </c>
      <c r="H412" s="6" t="s">
        <v>62</v>
      </c>
      <c r="I412" s="6" t="s">
        <v>67</v>
      </c>
      <c r="J412" s="15">
        <v>70.52</v>
      </c>
      <c r="K412" s="13">
        <v>14</v>
      </c>
      <c r="L412" s="1"/>
    </row>
    <row r="413" spans="1:12" ht="21.95" customHeight="1">
      <c r="A413" s="1">
        <v>411</v>
      </c>
      <c r="B413" s="2" t="str">
        <f>"樊傲"</f>
        <v>樊傲</v>
      </c>
      <c r="C413" s="2" t="str">
        <f>"女"</f>
        <v>女</v>
      </c>
      <c r="D413" s="2" t="s">
        <v>11</v>
      </c>
      <c r="E413" s="2" t="s">
        <v>12</v>
      </c>
      <c r="F413" s="2" t="str">
        <f t="shared" si="20"/>
        <v>E2024022</v>
      </c>
      <c r="G413" s="2" t="s">
        <v>584</v>
      </c>
      <c r="H413" s="6" t="s">
        <v>42</v>
      </c>
      <c r="I413" s="6" t="s">
        <v>60</v>
      </c>
      <c r="J413" s="15">
        <v>70.2</v>
      </c>
      <c r="K413" s="13">
        <v>15</v>
      </c>
      <c r="L413" s="1"/>
    </row>
    <row r="414" spans="1:12" ht="21.95" customHeight="1">
      <c r="A414" s="1">
        <v>412</v>
      </c>
      <c r="B414" s="2" t="str">
        <f>"刘玉"</f>
        <v>刘玉</v>
      </c>
      <c r="C414" s="2" t="str">
        <f>"女"</f>
        <v>女</v>
      </c>
      <c r="D414" s="2" t="s">
        <v>11</v>
      </c>
      <c r="E414" s="2" t="s">
        <v>12</v>
      </c>
      <c r="F414" s="2" t="str">
        <f t="shared" si="20"/>
        <v>E2024022</v>
      </c>
      <c r="G414" s="2" t="s">
        <v>536</v>
      </c>
      <c r="H414" s="6" t="s">
        <v>40</v>
      </c>
      <c r="I414" s="6" t="s">
        <v>66</v>
      </c>
      <c r="J414" s="15">
        <v>69.95</v>
      </c>
      <c r="K414" s="13">
        <v>16</v>
      </c>
      <c r="L414" s="1"/>
    </row>
    <row r="415" spans="1:12" ht="21.95" customHeight="1">
      <c r="A415" s="1">
        <v>413</v>
      </c>
      <c r="B415" s="2" t="str">
        <f>"杨彩芬"</f>
        <v>杨彩芬</v>
      </c>
      <c r="C415" s="2" t="str">
        <f>"女"</f>
        <v>女</v>
      </c>
      <c r="D415" s="2" t="s">
        <v>11</v>
      </c>
      <c r="E415" s="2" t="s">
        <v>12</v>
      </c>
      <c r="F415" s="2" t="str">
        <f t="shared" si="20"/>
        <v>E2024022</v>
      </c>
      <c r="G415" s="2" t="s">
        <v>597</v>
      </c>
      <c r="H415" s="6" t="s">
        <v>42</v>
      </c>
      <c r="I415" s="6" t="s">
        <v>52</v>
      </c>
      <c r="J415" s="15">
        <v>69.78</v>
      </c>
      <c r="K415" s="13">
        <v>17</v>
      </c>
      <c r="L415" s="1"/>
    </row>
    <row r="416" spans="1:12" ht="21.95" customHeight="1">
      <c r="A416" s="1">
        <v>414</v>
      </c>
      <c r="B416" s="2" t="str">
        <f>"张傲然"</f>
        <v>张傲然</v>
      </c>
      <c r="C416" s="2" t="str">
        <f>"男"</f>
        <v>男</v>
      </c>
      <c r="D416" s="2" t="s">
        <v>11</v>
      </c>
      <c r="E416" s="2" t="s">
        <v>12</v>
      </c>
      <c r="F416" s="2" t="str">
        <f t="shared" si="20"/>
        <v>E2024022</v>
      </c>
      <c r="G416" s="2" t="s">
        <v>627</v>
      </c>
      <c r="H416" s="6" t="s">
        <v>62</v>
      </c>
      <c r="I416" s="6" t="s">
        <v>52</v>
      </c>
      <c r="J416" s="15">
        <v>69.61</v>
      </c>
      <c r="K416" s="13">
        <v>18</v>
      </c>
      <c r="L416" s="1"/>
    </row>
    <row r="417" spans="1:12" ht="21.95" customHeight="1">
      <c r="A417" s="1">
        <v>415</v>
      </c>
      <c r="B417" s="2" t="str">
        <f>"杨勉"</f>
        <v>杨勉</v>
      </c>
      <c r="C417" s="2" t="str">
        <f t="shared" ref="C417:C433" si="22">"女"</f>
        <v>女</v>
      </c>
      <c r="D417" s="2" t="s">
        <v>11</v>
      </c>
      <c r="E417" s="2" t="s">
        <v>12</v>
      </c>
      <c r="F417" s="2" t="str">
        <f t="shared" si="20"/>
        <v>E2024022</v>
      </c>
      <c r="G417" s="2" t="s">
        <v>641</v>
      </c>
      <c r="H417" s="6" t="s">
        <v>44</v>
      </c>
      <c r="I417" s="6" t="s">
        <v>36</v>
      </c>
      <c r="J417" s="15">
        <v>69.489999999999995</v>
      </c>
      <c r="K417" s="13">
        <v>19</v>
      </c>
      <c r="L417" s="1"/>
    </row>
    <row r="418" spans="1:12" ht="21.95" customHeight="1">
      <c r="A418" s="1">
        <v>416</v>
      </c>
      <c r="B418" s="2" t="str">
        <f>"黄嫔"</f>
        <v>黄嫔</v>
      </c>
      <c r="C418" s="2" t="str">
        <f t="shared" si="22"/>
        <v>女</v>
      </c>
      <c r="D418" s="2" t="s">
        <v>11</v>
      </c>
      <c r="E418" s="2" t="s">
        <v>12</v>
      </c>
      <c r="F418" s="2" t="str">
        <f t="shared" si="20"/>
        <v>E2024022</v>
      </c>
      <c r="G418" s="2" t="s">
        <v>535</v>
      </c>
      <c r="H418" s="6" t="s">
        <v>40</v>
      </c>
      <c r="I418" s="6" t="s">
        <v>50</v>
      </c>
      <c r="J418" s="15">
        <v>69.069999999999993</v>
      </c>
      <c r="K418" s="13">
        <v>20</v>
      </c>
      <c r="L418" s="1"/>
    </row>
    <row r="419" spans="1:12" ht="21.95" customHeight="1">
      <c r="A419" s="1">
        <v>417</v>
      </c>
      <c r="B419" s="2" t="str">
        <f>"谭迪莉"</f>
        <v>谭迪莉</v>
      </c>
      <c r="C419" s="2" t="str">
        <f t="shared" si="22"/>
        <v>女</v>
      </c>
      <c r="D419" s="2" t="s">
        <v>11</v>
      </c>
      <c r="E419" s="2" t="s">
        <v>12</v>
      </c>
      <c r="F419" s="2" t="str">
        <f t="shared" si="20"/>
        <v>E2024022</v>
      </c>
      <c r="G419" s="2" t="s">
        <v>636</v>
      </c>
      <c r="H419" s="6" t="s">
        <v>44</v>
      </c>
      <c r="I419" s="6" t="s">
        <v>56</v>
      </c>
      <c r="J419" s="15">
        <v>69.03</v>
      </c>
      <c r="K419" s="13">
        <v>21</v>
      </c>
      <c r="L419" s="1"/>
    </row>
    <row r="420" spans="1:12" ht="21.95" customHeight="1">
      <c r="A420" s="1">
        <v>418</v>
      </c>
      <c r="B420" s="2" t="str">
        <f>"梁思思"</f>
        <v>梁思思</v>
      </c>
      <c r="C420" s="2" t="str">
        <f t="shared" si="22"/>
        <v>女</v>
      </c>
      <c r="D420" s="2" t="s">
        <v>11</v>
      </c>
      <c r="E420" s="2" t="s">
        <v>12</v>
      </c>
      <c r="F420" s="2" t="str">
        <f t="shared" si="20"/>
        <v>E2024022</v>
      </c>
      <c r="G420" s="2" t="s">
        <v>614</v>
      </c>
      <c r="H420" s="6" t="s">
        <v>62</v>
      </c>
      <c r="I420" s="6" t="s">
        <v>60</v>
      </c>
      <c r="J420" s="15">
        <v>68.83</v>
      </c>
      <c r="K420" s="13">
        <v>22</v>
      </c>
      <c r="L420" s="1"/>
    </row>
    <row r="421" spans="1:12" ht="21.95" customHeight="1">
      <c r="A421" s="1">
        <v>419</v>
      </c>
      <c r="B421" s="2" t="str">
        <f>"徐露露"</f>
        <v>徐露露</v>
      </c>
      <c r="C421" s="2" t="str">
        <f t="shared" si="22"/>
        <v>女</v>
      </c>
      <c r="D421" s="2" t="s">
        <v>11</v>
      </c>
      <c r="E421" s="2" t="s">
        <v>12</v>
      </c>
      <c r="F421" s="2" t="str">
        <f t="shared" si="20"/>
        <v>E2024022</v>
      </c>
      <c r="G421" s="2" t="s">
        <v>644</v>
      </c>
      <c r="H421" s="6" t="s">
        <v>44</v>
      </c>
      <c r="I421" s="6" t="s">
        <v>60</v>
      </c>
      <c r="J421" s="15">
        <v>68.650000000000006</v>
      </c>
      <c r="K421" s="13">
        <v>23</v>
      </c>
      <c r="L421" s="1"/>
    </row>
    <row r="422" spans="1:12" ht="21.95" customHeight="1">
      <c r="A422" s="1">
        <v>420</v>
      </c>
      <c r="B422" s="2" t="str">
        <f>"郑立斌"</f>
        <v>郑立斌</v>
      </c>
      <c r="C422" s="2" t="str">
        <f t="shared" si="22"/>
        <v>女</v>
      </c>
      <c r="D422" s="2" t="s">
        <v>11</v>
      </c>
      <c r="E422" s="2" t="s">
        <v>12</v>
      </c>
      <c r="F422" s="2" t="str">
        <f t="shared" si="20"/>
        <v>E2024022</v>
      </c>
      <c r="G422" s="2" t="s">
        <v>531</v>
      </c>
      <c r="H422" s="6" t="s">
        <v>40</v>
      </c>
      <c r="I422" s="6" t="s">
        <v>46</v>
      </c>
      <c r="J422" s="15">
        <v>68.349999999999994</v>
      </c>
      <c r="K422" s="13">
        <v>24</v>
      </c>
      <c r="L422" s="1"/>
    </row>
    <row r="423" spans="1:12" ht="21.95" customHeight="1">
      <c r="A423" s="1">
        <v>421</v>
      </c>
      <c r="B423" s="2" t="str">
        <f>"代宏清"</f>
        <v>代宏清</v>
      </c>
      <c r="C423" s="2" t="str">
        <f t="shared" si="22"/>
        <v>女</v>
      </c>
      <c r="D423" s="2" t="s">
        <v>11</v>
      </c>
      <c r="E423" s="2" t="s">
        <v>12</v>
      </c>
      <c r="F423" s="2" t="str">
        <f t="shared" si="20"/>
        <v>E2024022</v>
      </c>
      <c r="G423" s="2" t="s">
        <v>625</v>
      </c>
      <c r="H423" s="6" t="s">
        <v>62</v>
      </c>
      <c r="I423" s="6" t="s">
        <v>50</v>
      </c>
      <c r="J423" s="15">
        <v>68.02</v>
      </c>
      <c r="K423" s="13">
        <v>25</v>
      </c>
      <c r="L423" s="1"/>
    </row>
    <row r="424" spans="1:12" ht="21.95" customHeight="1">
      <c r="A424" s="1">
        <v>422</v>
      </c>
      <c r="B424" s="2" t="str">
        <f>"杨晓芳"</f>
        <v>杨晓芳</v>
      </c>
      <c r="C424" s="2" t="str">
        <f t="shared" si="22"/>
        <v>女</v>
      </c>
      <c r="D424" s="2" t="s">
        <v>11</v>
      </c>
      <c r="E424" s="2" t="s">
        <v>12</v>
      </c>
      <c r="F424" s="2" t="str">
        <f t="shared" si="20"/>
        <v>E2024022</v>
      </c>
      <c r="G424" s="2" t="s">
        <v>524</v>
      </c>
      <c r="H424" s="6" t="s">
        <v>40</v>
      </c>
      <c r="I424" s="6" t="s">
        <v>60</v>
      </c>
      <c r="J424" s="15">
        <v>67.989999999999995</v>
      </c>
      <c r="K424" s="13">
        <v>26</v>
      </c>
      <c r="L424" s="1"/>
    </row>
    <row r="425" spans="1:12" ht="21.95" customHeight="1">
      <c r="A425" s="1">
        <v>423</v>
      </c>
      <c r="B425" s="2" t="str">
        <f>"李玲"</f>
        <v>李玲</v>
      </c>
      <c r="C425" s="2" t="str">
        <f t="shared" si="22"/>
        <v>女</v>
      </c>
      <c r="D425" s="2" t="s">
        <v>11</v>
      </c>
      <c r="E425" s="2" t="s">
        <v>12</v>
      </c>
      <c r="F425" s="2" t="str">
        <f t="shared" si="20"/>
        <v>E2024022</v>
      </c>
      <c r="G425" s="2" t="s">
        <v>610</v>
      </c>
      <c r="H425" s="6" t="s">
        <v>62</v>
      </c>
      <c r="I425" s="6" t="s">
        <v>58</v>
      </c>
      <c r="J425" s="15">
        <v>67.430000000000007</v>
      </c>
      <c r="K425" s="13">
        <v>27</v>
      </c>
      <c r="L425" s="1"/>
    </row>
    <row r="426" spans="1:12" ht="21.95" customHeight="1">
      <c r="A426" s="1">
        <v>424</v>
      </c>
      <c r="B426" s="2" t="str">
        <f>"梁婧荣"</f>
        <v>梁婧荣</v>
      </c>
      <c r="C426" s="2" t="str">
        <f t="shared" si="22"/>
        <v>女</v>
      </c>
      <c r="D426" s="2" t="s">
        <v>11</v>
      </c>
      <c r="E426" s="2" t="s">
        <v>12</v>
      </c>
      <c r="F426" s="2" t="str">
        <f t="shared" si="20"/>
        <v>E2024022</v>
      </c>
      <c r="G426" s="2" t="s">
        <v>603</v>
      </c>
      <c r="H426" s="6" t="s">
        <v>62</v>
      </c>
      <c r="I426" s="6" t="s">
        <v>28</v>
      </c>
      <c r="J426" s="15">
        <v>67.37</v>
      </c>
      <c r="K426" s="13">
        <v>28</v>
      </c>
      <c r="L426" s="1"/>
    </row>
    <row r="427" spans="1:12" ht="21.95" customHeight="1">
      <c r="A427" s="1">
        <v>425</v>
      </c>
      <c r="B427" s="2" t="str">
        <f>"李婷"</f>
        <v>李婷</v>
      </c>
      <c r="C427" s="2" t="str">
        <f t="shared" si="22"/>
        <v>女</v>
      </c>
      <c r="D427" s="2" t="s">
        <v>11</v>
      </c>
      <c r="E427" s="2" t="s">
        <v>12</v>
      </c>
      <c r="F427" s="2" t="str">
        <f t="shared" si="20"/>
        <v>E2024022</v>
      </c>
      <c r="G427" s="2" t="s">
        <v>533</v>
      </c>
      <c r="H427" s="6" t="s">
        <v>40</v>
      </c>
      <c r="I427" s="6" t="s">
        <v>48</v>
      </c>
      <c r="J427" s="15">
        <v>67.09</v>
      </c>
      <c r="K427" s="13">
        <v>29</v>
      </c>
      <c r="L427" s="1"/>
    </row>
    <row r="428" spans="1:12" ht="21.95" customHeight="1">
      <c r="A428" s="1">
        <v>426</v>
      </c>
      <c r="B428" s="2" t="str">
        <f>"田婳"</f>
        <v>田婳</v>
      </c>
      <c r="C428" s="2" t="str">
        <f t="shared" si="22"/>
        <v>女</v>
      </c>
      <c r="D428" s="2" t="s">
        <v>11</v>
      </c>
      <c r="E428" s="2" t="s">
        <v>12</v>
      </c>
      <c r="F428" s="2" t="str">
        <f t="shared" si="20"/>
        <v>E2024022</v>
      </c>
      <c r="G428" s="2" t="s">
        <v>540</v>
      </c>
      <c r="H428" s="6" t="s">
        <v>40</v>
      </c>
      <c r="I428" s="6" t="s">
        <v>72</v>
      </c>
      <c r="J428" s="15">
        <v>67.040000000000006</v>
      </c>
      <c r="K428" s="13">
        <v>30</v>
      </c>
      <c r="L428" s="1"/>
    </row>
    <row r="429" spans="1:12" ht="21.95" customHeight="1">
      <c r="A429" s="1">
        <v>427</v>
      </c>
      <c r="B429" s="2" t="str">
        <f>"雷娜"</f>
        <v>雷娜</v>
      </c>
      <c r="C429" s="2" t="str">
        <f t="shared" si="22"/>
        <v>女</v>
      </c>
      <c r="D429" s="2" t="s">
        <v>11</v>
      </c>
      <c r="E429" s="2" t="s">
        <v>12</v>
      </c>
      <c r="F429" s="2" t="str">
        <f t="shared" si="20"/>
        <v>E2024022</v>
      </c>
      <c r="G429" s="2" t="s">
        <v>655</v>
      </c>
      <c r="H429" s="6" t="s">
        <v>44</v>
      </c>
      <c r="I429" s="6" t="s">
        <v>50</v>
      </c>
      <c r="J429" s="15">
        <v>66.72</v>
      </c>
      <c r="K429" s="13">
        <v>31</v>
      </c>
      <c r="L429" s="1"/>
    </row>
    <row r="430" spans="1:12" ht="21.95" customHeight="1">
      <c r="A430" s="1">
        <v>428</v>
      </c>
      <c r="B430" s="2" t="str">
        <f>"李兰林"</f>
        <v>李兰林</v>
      </c>
      <c r="C430" s="2" t="str">
        <f t="shared" si="22"/>
        <v>女</v>
      </c>
      <c r="D430" s="2" t="s">
        <v>11</v>
      </c>
      <c r="E430" s="2" t="s">
        <v>12</v>
      </c>
      <c r="F430" s="2" t="str">
        <f t="shared" si="20"/>
        <v>E2024022</v>
      </c>
      <c r="G430" s="2" t="s">
        <v>571</v>
      </c>
      <c r="H430" s="6" t="s">
        <v>42</v>
      </c>
      <c r="I430" s="6" t="s">
        <v>26</v>
      </c>
      <c r="J430" s="15">
        <v>66.7</v>
      </c>
      <c r="K430" s="13">
        <v>32</v>
      </c>
      <c r="L430" s="1"/>
    </row>
    <row r="431" spans="1:12" ht="21.95" customHeight="1">
      <c r="A431" s="1">
        <v>429</v>
      </c>
      <c r="B431" s="2" t="str">
        <f>"祝佳"</f>
        <v>祝佳</v>
      </c>
      <c r="C431" s="2" t="str">
        <f t="shared" si="22"/>
        <v>女</v>
      </c>
      <c r="D431" s="2" t="s">
        <v>11</v>
      </c>
      <c r="E431" s="2" t="s">
        <v>12</v>
      </c>
      <c r="F431" s="2" t="str">
        <f t="shared" ref="F431:F462" si="23">"E2024022"</f>
        <v>E2024022</v>
      </c>
      <c r="G431" s="2" t="s">
        <v>563</v>
      </c>
      <c r="H431" s="6" t="s">
        <v>61</v>
      </c>
      <c r="I431" s="6" t="s">
        <v>48</v>
      </c>
      <c r="J431" s="15">
        <v>66.63</v>
      </c>
      <c r="K431" s="13">
        <v>33</v>
      </c>
      <c r="L431" s="1"/>
    </row>
    <row r="432" spans="1:12" ht="21.95" customHeight="1">
      <c r="A432" s="1">
        <v>430</v>
      </c>
      <c r="B432" s="2" t="str">
        <f>"陈忠淇"</f>
        <v>陈忠淇</v>
      </c>
      <c r="C432" s="2" t="str">
        <f t="shared" si="22"/>
        <v>女</v>
      </c>
      <c r="D432" s="2" t="s">
        <v>11</v>
      </c>
      <c r="E432" s="2" t="s">
        <v>12</v>
      </c>
      <c r="F432" s="2" t="str">
        <f t="shared" si="23"/>
        <v>E2024022</v>
      </c>
      <c r="G432" s="2" t="s">
        <v>582</v>
      </c>
      <c r="H432" s="6" t="s">
        <v>42</v>
      </c>
      <c r="I432" s="6" t="s">
        <v>59</v>
      </c>
      <c r="J432" s="15">
        <v>66.62</v>
      </c>
      <c r="K432" s="13">
        <v>34</v>
      </c>
      <c r="L432" s="1"/>
    </row>
    <row r="433" spans="1:12" ht="21.95" customHeight="1">
      <c r="A433" s="1">
        <v>431</v>
      </c>
      <c r="B433" s="2" t="str">
        <f>"史兰芽"</f>
        <v>史兰芽</v>
      </c>
      <c r="C433" s="2" t="str">
        <f t="shared" si="22"/>
        <v>女</v>
      </c>
      <c r="D433" s="2" t="s">
        <v>11</v>
      </c>
      <c r="E433" s="2" t="s">
        <v>12</v>
      </c>
      <c r="F433" s="2" t="str">
        <f t="shared" si="23"/>
        <v>E2024022</v>
      </c>
      <c r="G433" s="2" t="s">
        <v>546</v>
      </c>
      <c r="H433" s="6" t="s">
        <v>61</v>
      </c>
      <c r="I433" s="6" t="s">
        <v>56</v>
      </c>
      <c r="J433" s="15">
        <v>66.33</v>
      </c>
      <c r="K433" s="13">
        <v>35</v>
      </c>
      <c r="L433" s="1"/>
    </row>
    <row r="434" spans="1:12" ht="21.95" customHeight="1">
      <c r="A434" s="1">
        <v>432</v>
      </c>
      <c r="B434" s="2" t="str">
        <f>"廖德银"</f>
        <v>廖德银</v>
      </c>
      <c r="C434" s="2" t="str">
        <f>"男"</f>
        <v>男</v>
      </c>
      <c r="D434" s="2" t="s">
        <v>11</v>
      </c>
      <c r="E434" s="2" t="s">
        <v>12</v>
      </c>
      <c r="F434" s="2" t="str">
        <f t="shared" si="23"/>
        <v>E2024022</v>
      </c>
      <c r="G434" s="2" t="s">
        <v>572</v>
      </c>
      <c r="H434" s="6" t="s">
        <v>91</v>
      </c>
      <c r="I434" s="6" t="s">
        <v>54</v>
      </c>
      <c r="J434" s="15">
        <v>66.239999999999995</v>
      </c>
      <c r="K434" s="13">
        <v>36</v>
      </c>
      <c r="L434" s="1"/>
    </row>
    <row r="435" spans="1:12" ht="21.95" customHeight="1">
      <c r="A435" s="1">
        <v>433</v>
      </c>
      <c r="B435" s="2" t="str">
        <f>"乔杉杉"</f>
        <v>乔杉杉</v>
      </c>
      <c r="C435" s="2" t="str">
        <f t="shared" ref="C435:C445" si="24">"女"</f>
        <v>女</v>
      </c>
      <c r="D435" s="2" t="s">
        <v>11</v>
      </c>
      <c r="E435" s="2" t="s">
        <v>12</v>
      </c>
      <c r="F435" s="2" t="str">
        <f t="shared" si="23"/>
        <v>E2024022</v>
      </c>
      <c r="G435" s="2" t="s">
        <v>553</v>
      </c>
      <c r="H435" s="6" t="s">
        <v>61</v>
      </c>
      <c r="I435" s="6" t="s">
        <v>38</v>
      </c>
      <c r="J435" s="15">
        <v>66.16</v>
      </c>
      <c r="K435" s="13">
        <v>37</v>
      </c>
      <c r="L435" s="1"/>
    </row>
    <row r="436" spans="1:12" ht="21.95" customHeight="1">
      <c r="A436" s="1">
        <v>434</v>
      </c>
      <c r="B436" s="2" t="str">
        <f>"谭晨彦"</f>
        <v>谭晨彦</v>
      </c>
      <c r="C436" s="2" t="str">
        <f t="shared" si="24"/>
        <v>女</v>
      </c>
      <c r="D436" s="2" t="s">
        <v>11</v>
      </c>
      <c r="E436" s="2" t="s">
        <v>12</v>
      </c>
      <c r="F436" s="2" t="str">
        <f t="shared" si="23"/>
        <v>E2024022</v>
      </c>
      <c r="G436" s="2" t="s">
        <v>616</v>
      </c>
      <c r="H436" s="6" t="s">
        <v>62</v>
      </c>
      <c r="I436" s="6" t="s">
        <v>61</v>
      </c>
      <c r="J436" s="15">
        <v>65.7</v>
      </c>
      <c r="K436" s="13">
        <v>38</v>
      </c>
      <c r="L436" s="1"/>
    </row>
    <row r="437" spans="1:12" ht="21.95" customHeight="1">
      <c r="A437" s="1">
        <v>435</v>
      </c>
      <c r="B437" s="2" t="str">
        <f>"欧阳格格"</f>
        <v>欧阳格格</v>
      </c>
      <c r="C437" s="2" t="str">
        <f t="shared" si="24"/>
        <v>女</v>
      </c>
      <c r="D437" s="2" t="s">
        <v>11</v>
      </c>
      <c r="E437" s="2" t="s">
        <v>12</v>
      </c>
      <c r="F437" s="2" t="str">
        <f t="shared" si="23"/>
        <v>E2024022</v>
      </c>
      <c r="G437" s="2" t="s">
        <v>578</v>
      </c>
      <c r="H437" s="6" t="s">
        <v>42</v>
      </c>
      <c r="I437" s="6" t="s">
        <v>57</v>
      </c>
      <c r="J437" s="15">
        <v>65.34</v>
      </c>
      <c r="K437" s="13">
        <v>39</v>
      </c>
      <c r="L437" s="1"/>
    </row>
    <row r="438" spans="1:12" ht="21.95" customHeight="1">
      <c r="A438" s="1">
        <v>436</v>
      </c>
      <c r="B438" s="2" t="str">
        <f>"田甜"</f>
        <v>田甜</v>
      </c>
      <c r="C438" s="2" t="str">
        <f t="shared" si="24"/>
        <v>女</v>
      </c>
      <c r="D438" s="2" t="s">
        <v>11</v>
      </c>
      <c r="E438" s="2" t="s">
        <v>12</v>
      </c>
      <c r="F438" s="2" t="str">
        <f t="shared" si="23"/>
        <v>E2024022</v>
      </c>
      <c r="G438" s="2" t="s">
        <v>554</v>
      </c>
      <c r="H438" s="6" t="s">
        <v>61</v>
      </c>
      <c r="I438" s="6" t="s">
        <v>60</v>
      </c>
      <c r="J438" s="15">
        <v>65.040000000000006</v>
      </c>
      <c r="K438" s="13">
        <v>40</v>
      </c>
      <c r="L438" s="1"/>
    </row>
    <row r="439" spans="1:12" ht="21.95" customHeight="1">
      <c r="A439" s="1">
        <v>437</v>
      </c>
      <c r="B439" s="2" t="str">
        <f>"许玉莲"</f>
        <v>许玉莲</v>
      </c>
      <c r="C439" s="2" t="str">
        <f t="shared" si="24"/>
        <v>女</v>
      </c>
      <c r="D439" s="2" t="s">
        <v>11</v>
      </c>
      <c r="E439" s="2" t="s">
        <v>12</v>
      </c>
      <c r="F439" s="2" t="str">
        <f t="shared" si="23"/>
        <v>E2024022</v>
      </c>
      <c r="G439" s="2" t="s">
        <v>595</v>
      </c>
      <c r="H439" s="6" t="s">
        <v>42</v>
      </c>
      <c r="I439" s="6" t="s">
        <v>50</v>
      </c>
      <c r="J439" s="15">
        <v>64.95</v>
      </c>
      <c r="K439" s="13">
        <v>41</v>
      </c>
      <c r="L439" s="1"/>
    </row>
    <row r="440" spans="1:12" ht="21.95" customHeight="1">
      <c r="A440" s="1">
        <v>438</v>
      </c>
      <c r="B440" s="2" t="str">
        <f>"王萌"</f>
        <v>王萌</v>
      </c>
      <c r="C440" s="2" t="str">
        <f t="shared" si="24"/>
        <v>女</v>
      </c>
      <c r="D440" s="2" t="s">
        <v>11</v>
      </c>
      <c r="E440" s="2" t="s">
        <v>12</v>
      </c>
      <c r="F440" s="2" t="str">
        <f t="shared" si="23"/>
        <v>E2024022</v>
      </c>
      <c r="G440" s="2" t="s">
        <v>593</v>
      </c>
      <c r="H440" s="6" t="s">
        <v>42</v>
      </c>
      <c r="I440" s="6" t="s">
        <v>48</v>
      </c>
      <c r="J440" s="15">
        <v>64.84</v>
      </c>
      <c r="K440" s="13">
        <v>42</v>
      </c>
      <c r="L440" s="1"/>
    </row>
    <row r="441" spans="1:12" ht="21.95" customHeight="1">
      <c r="A441" s="1">
        <v>439</v>
      </c>
      <c r="B441" s="2" t="str">
        <f>"王婧"</f>
        <v>王婧</v>
      </c>
      <c r="C441" s="2" t="str">
        <f t="shared" si="24"/>
        <v>女</v>
      </c>
      <c r="D441" s="2" t="s">
        <v>11</v>
      </c>
      <c r="E441" s="2" t="s">
        <v>12</v>
      </c>
      <c r="F441" s="2" t="str">
        <f t="shared" si="23"/>
        <v>E2024022</v>
      </c>
      <c r="G441" s="2" t="s">
        <v>576</v>
      </c>
      <c r="H441" s="6" t="s">
        <v>42</v>
      </c>
      <c r="I441" s="6" t="s">
        <v>56</v>
      </c>
      <c r="J441" s="15">
        <v>64.569999999999993</v>
      </c>
      <c r="K441" s="13">
        <v>43</v>
      </c>
      <c r="L441" s="1"/>
    </row>
    <row r="442" spans="1:12" ht="21.95" customHeight="1">
      <c r="A442" s="1">
        <v>440</v>
      </c>
      <c r="B442" s="2" t="str">
        <f>"崔美玲"</f>
        <v>崔美玲</v>
      </c>
      <c r="C442" s="2" t="str">
        <f t="shared" si="24"/>
        <v>女</v>
      </c>
      <c r="D442" s="2" t="s">
        <v>11</v>
      </c>
      <c r="E442" s="2" t="s">
        <v>12</v>
      </c>
      <c r="F442" s="2" t="str">
        <f t="shared" si="23"/>
        <v>E2024022</v>
      </c>
      <c r="G442" s="2" t="s">
        <v>577</v>
      </c>
      <c r="H442" s="6" t="s">
        <v>42</v>
      </c>
      <c r="I442" s="6" t="s">
        <v>32</v>
      </c>
      <c r="J442" s="15">
        <v>63.52</v>
      </c>
      <c r="K442" s="13">
        <v>44</v>
      </c>
      <c r="L442" s="1"/>
    </row>
    <row r="443" spans="1:12" ht="21.95" customHeight="1">
      <c r="A443" s="1">
        <v>441</v>
      </c>
      <c r="B443" s="2" t="str">
        <f>"赖洋"</f>
        <v>赖洋</v>
      </c>
      <c r="C443" s="2" t="str">
        <f t="shared" si="24"/>
        <v>女</v>
      </c>
      <c r="D443" s="2" t="s">
        <v>11</v>
      </c>
      <c r="E443" s="2" t="s">
        <v>12</v>
      </c>
      <c r="F443" s="2" t="str">
        <f t="shared" si="23"/>
        <v>E2024022</v>
      </c>
      <c r="G443" s="2" t="s">
        <v>545</v>
      </c>
      <c r="H443" s="6" t="s">
        <v>61</v>
      </c>
      <c r="I443" s="6" t="s">
        <v>30</v>
      </c>
      <c r="J443" s="15">
        <v>63.24</v>
      </c>
      <c r="K443" s="13">
        <v>45</v>
      </c>
      <c r="L443" s="1"/>
    </row>
    <row r="444" spans="1:12" ht="21.95" customHeight="1">
      <c r="A444" s="1">
        <v>442</v>
      </c>
      <c r="B444" s="2" t="str">
        <f>"郭雯"</f>
        <v>郭雯</v>
      </c>
      <c r="C444" s="2" t="str">
        <f t="shared" si="24"/>
        <v>女</v>
      </c>
      <c r="D444" s="2" t="s">
        <v>11</v>
      </c>
      <c r="E444" s="2" t="s">
        <v>12</v>
      </c>
      <c r="F444" s="2" t="str">
        <f t="shared" si="23"/>
        <v>E2024022</v>
      </c>
      <c r="G444" s="2" t="s">
        <v>581</v>
      </c>
      <c r="H444" s="6" t="s">
        <v>42</v>
      </c>
      <c r="I444" s="6" t="s">
        <v>36</v>
      </c>
      <c r="J444" s="15">
        <v>63.19</v>
      </c>
      <c r="K444" s="13">
        <v>46</v>
      </c>
      <c r="L444" s="1"/>
    </row>
    <row r="445" spans="1:12" ht="21.95" customHeight="1">
      <c r="A445" s="1">
        <v>443</v>
      </c>
      <c r="B445" s="2" t="str">
        <f>"谭蓉"</f>
        <v>谭蓉</v>
      </c>
      <c r="C445" s="2" t="str">
        <f t="shared" si="24"/>
        <v>女</v>
      </c>
      <c r="D445" s="2" t="s">
        <v>11</v>
      </c>
      <c r="E445" s="2" t="s">
        <v>12</v>
      </c>
      <c r="F445" s="2" t="str">
        <f t="shared" si="23"/>
        <v>E2024022</v>
      </c>
      <c r="G445" s="2" t="s">
        <v>624</v>
      </c>
      <c r="H445" s="6" t="s">
        <v>62</v>
      </c>
      <c r="I445" s="6" t="s">
        <v>65</v>
      </c>
      <c r="J445" s="15">
        <v>63.19</v>
      </c>
      <c r="K445" s="13">
        <v>46</v>
      </c>
      <c r="L445" s="1"/>
    </row>
    <row r="446" spans="1:12" ht="21.95" customHeight="1">
      <c r="A446" s="1">
        <v>444</v>
      </c>
      <c r="B446" s="2" t="str">
        <f>"黄鑫彪"</f>
        <v>黄鑫彪</v>
      </c>
      <c r="C446" s="2" t="str">
        <f>"男"</f>
        <v>男</v>
      </c>
      <c r="D446" s="2" t="s">
        <v>11</v>
      </c>
      <c r="E446" s="2" t="s">
        <v>12</v>
      </c>
      <c r="F446" s="2" t="str">
        <f t="shared" si="23"/>
        <v>E2024022</v>
      </c>
      <c r="G446" s="2" t="s">
        <v>604</v>
      </c>
      <c r="H446" s="6" t="s">
        <v>62</v>
      </c>
      <c r="I446" s="6" t="s">
        <v>55</v>
      </c>
      <c r="J446" s="15">
        <v>63.13</v>
      </c>
      <c r="K446" s="13">
        <v>48</v>
      </c>
      <c r="L446" s="1"/>
    </row>
    <row r="447" spans="1:12" ht="21.95" customHeight="1">
      <c r="A447" s="1">
        <v>445</v>
      </c>
      <c r="B447" s="2" t="str">
        <f>"杜鹃"</f>
        <v>杜鹃</v>
      </c>
      <c r="C447" s="2" t="str">
        <f>"女"</f>
        <v>女</v>
      </c>
      <c r="D447" s="2" t="s">
        <v>11</v>
      </c>
      <c r="E447" s="2" t="s">
        <v>12</v>
      </c>
      <c r="F447" s="2" t="str">
        <f t="shared" si="23"/>
        <v>E2024022</v>
      </c>
      <c r="G447" s="2" t="s">
        <v>596</v>
      </c>
      <c r="H447" s="6" t="s">
        <v>42</v>
      </c>
      <c r="I447" s="6" t="s">
        <v>66</v>
      </c>
      <c r="J447" s="15">
        <v>63.12</v>
      </c>
      <c r="K447" s="13">
        <v>49</v>
      </c>
      <c r="L447" s="1"/>
    </row>
    <row r="448" spans="1:12" ht="21.95" customHeight="1">
      <c r="A448" s="1">
        <v>446</v>
      </c>
      <c r="B448" s="2" t="str">
        <f>"陈天娇"</f>
        <v>陈天娇</v>
      </c>
      <c r="C448" s="2" t="str">
        <f>"女"</f>
        <v>女</v>
      </c>
      <c r="D448" s="2" t="s">
        <v>11</v>
      </c>
      <c r="E448" s="2" t="s">
        <v>12</v>
      </c>
      <c r="F448" s="2" t="str">
        <f t="shared" si="23"/>
        <v>E2024022</v>
      </c>
      <c r="G448" s="2" t="s">
        <v>598</v>
      </c>
      <c r="H448" s="6" t="s">
        <v>42</v>
      </c>
      <c r="I448" s="6" t="s">
        <v>67</v>
      </c>
      <c r="J448" s="15">
        <v>62.09</v>
      </c>
      <c r="K448" s="13">
        <v>50</v>
      </c>
      <c r="L448" s="1"/>
    </row>
    <row r="449" spans="1:12" ht="21.95" customHeight="1">
      <c r="A449" s="1">
        <v>447</v>
      </c>
      <c r="B449" s="2" t="str">
        <f>"刘倩"</f>
        <v>刘倩</v>
      </c>
      <c r="C449" s="2" t="str">
        <f>"女"</f>
        <v>女</v>
      </c>
      <c r="D449" s="2" t="s">
        <v>11</v>
      </c>
      <c r="E449" s="2" t="s">
        <v>12</v>
      </c>
      <c r="F449" s="2" t="str">
        <f t="shared" si="23"/>
        <v>E2024022</v>
      </c>
      <c r="G449" s="2" t="s">
        <v>543</v>
      </c>
      <c r="H449" s="6" t="s">
        <v>61</v>
      </c>
      <c r="I449" s="6" t="s">
        <v>28</v>
      </c>
      <c r="J449" s="15">
        <v>61.94</v>
      </c>
      <c r="K449" s="13">
        <v>51</v>
      </c>
      <c r="L449" s="1"/>
    </row>
    <row r="450" spans="1:12" ht="21.95" customHeight="1">
      <c r="A450" s="1">
        <v>448</v>
      </c>
      <c r="B450" s="2" t="str">
        <f>"张三丰"</f>
        <v>张三丰</v>
      </c>
      <c r="C450" s="2" t="str">
        <f>"男"</f>
        <v>男</v>
      </c>
      <c r="D450" s="2" t="s">
        <v>11</v>
      </c>
      <c r="E450" s="2" t="s">
        <v>12</v>
      </c>
      <c r="F450" s="2" t="str">
        <f t="shared" si="23"/>
        <v>E2024022</v>
      </c>
      <c r="G450" s="2" t="s">
        <v>526</v>
      </c>
      <c r="H450" s="6" t="s">
        <v>40</v>
      </c>
      <c r="I450" s="6" t="s">
        <v>61</v>
      </c>
      <c r="J450" s="15">
        <v>61.13</v>
      </c>
      <c r="K450" s="13">
        <v>52</v>
      </c>
      <c r="L450" s="1"/>
    </row>
    <row r="451" spans="1:12" ht="21.95" customHeight="1">
      <c r="A451" s="1">
        <v>449</v>
      </c>
      <c r="B451" s="2" t="str">
        <f>"秦琴"</f>
        <v>秦琴</v>
      </c>
      <c r="C451" s="2" t="str">
        <f>"女"</f>
        <v>女</v>
      </c>
      <c r="D451" s="2" t="s">
        <v>11</v>
      </c>
      <c r="E451" s="2" t="s">
        <v>12</v>
      </c>
      <c r="F451" s="2" t="str">
        <f t="shared" si="23"/>
        <v>E2024022</v>
      </c>
      <c r="G451" s="2" t="s">
        <v>648</v>
      </c>
      <c r="H451" s="6" t="s">
        <v>44</v>
      </c>
      <c r="I451" s="6" t="s">
        <v>62</v>
      </c>
      <c r="J451" s="15">
        <v>61.09</v>
      </c>
      <c r="K451" s="13">
        <v>53</v>
      </c>
      <c r="L451" s="1"/>
    </row>
    <row r="452" spans="1:12" ht="21.95" customHeight="1">
      <c r="A452" s="1">
        <v>450</v>
      </c>
      <c r="B452" s="2" t="str">
        <f>"黄周"</f>
        <v>黄周</v>
      </c>
      <c r="C452" s="2" t="str">
        <f>"女"</f>
        <v>女</v>
      </c>
      <c r="D452" s="2" t="s">
        <v>11</v>
      </c>
      <c r="E452" s="2" t="s">
        <v>12</v>
      </c>
      <c r="F452" s="2" t="str">
        <f t="shared" si="23"/>
        <v>E2024022</v>
      </c>
      <c r="G452" s="2" t="s">
        <v>613</v>
      </c>
      <c r="H452" s="6" t="s">
        <v>62</v>
      </c>
      <c r="I452" s="6" t="s">
        <v>38</v>
      </c>
      <c r="J452" s="15">
        <v>60.81</v>
      </c>
      <c r="K452" s="13">
        <v>54</v>
      </c>
      <c r="L452" s="1"/>
    </row>
    <row r="453" spans="1:12" ht="21.95" customHeight="1">
      <c r="A453" s="1">
        <v>451</v>
      </c>
      <c r="B453" s="2" t="str">
        <f>"邹阳堰"</f>
        <v>邹阳堰</v>
      </c>
      <c r="C453" s="2" t="str">
        <f>"女"</f>
        <v>女</v>
      </c>
      <c r="D453" s="2" t="s">
        <v>11</v>
      </c>
      <c r="E453" s="2" t="s">
        <v>12</v>
      </c>
      <c r="F453" s="2" t="str">
        <f t="shared" si="23"/>
        <v>E2024022</v>
      </c>
      <c r="G453" s="2" t="s">
        <v>615</v>
      </c>
      <c r="H453" s="6" t="s">
        <v>62</v>
      </c>
      <c r="I453" s="6" t="s">
        <v>40</v>
      </c>
      <c r="J453" s="15">
        <v>60.31</v>
      </c>
      <c r="K453" s="13">
        <v>55</v>
      </c>
      <c r="L453" s="1"/>
    </row>
    <row r="454" spans="1:12" ht="21.95" customHeight="1">
      <c r="A454" s="1">
        <v>452</v>
      </c>
      <c r="B454" s="2" t="str">
        <f>"刘晓谚"</f>
        <v>刘晓谚</v>
      </c>
      <c r="C454" s="2" t="str">
        <f>"女"</f>
        <v>女</v>
      </c>
      <c r="D454" s="2" t="s">
        <v>11</v>
      </c>
      <c r="E454" s="2" t="s">
        <v>12</v>
      </c>
      <c r="F454" s="2" t="str">
        <f t="shared" si="23"/>
        <v>E2024022</v>
      </c>
      <c r="G454" s="2" t="s">
        <v>594</v>
      </c>
      <c r="H454" s="6" t="s">
        <v>42</v>
      </c>
      <c r="I454" s="6" t="s">
        <v>65</v>
      </c>
      <c r="J454" s="15">
        <v>60.16</v>
      </c>
      <c r="K454" s="13">
        <v>56</v>
      </c>
      <c r="L454" s="1"/>
    </row>
    <row r="455" spans="1:12" ht="21.95" customHeight="1">
      <c r="A455" s="1">
        <v>453</v>
      </c>
      <c r="B455" s="2" t="str">
        <f>"杨晓晗"</f>
        <v>杨晓晗</v>
      </c>
      <c r="C455" s="2" t="str">
        <f>"女"</f>
        <v>女</v>
      </c>
      <c r="D455" s="2" t="s">
        <v>11</v>
      </c>
      <c r="E455" s="2" t="s">
        <v>12</v>
      </c>
      <c r="F455" s="2" t="str">
        <f t="shared" si="23"/>
        <v>E2024022</v>
      </c>
      <c r="G455" s="2" t="s">
        <v>643</v>
      </c>
      <c r="H455" s="6" t="s">
        <v>44</v>
      </c>
      <c r="I455" s="6" t="s">
        <v>38</v>
      </c>
      <c r="J455" s="15">
        <v>60.08</v>
      </c>
      <c r="K455" s="13">
        <v>57</v>
      </c>
      <c r="L455" s="1"/>
    </row>
    <row r="456" spans="1:12" ht="21.95" customHeight="1">
      <c r="A456" s="1">
        <v>454</v>
      </c>
      <c r="B456" s="2" t="str">
        <f>"金盾"</f>
        <v>金盾</v>
      </c>
      <c r="C456" s="2" t="str">
        <f>"男"</f>
        <v>男</v>
      </c>
      <c r="D456" s="2" t="s">
        <v>11</v>
      </c>
      <c r="E456" s="2" t="s">
        <v>12</v>
      </c>
      <c r="F456" s="2" t="str">
        <f t="shared" si="23"/>
        <v>E2024022</v>
      </c>
      <c r="G456" s="2" t="s">
        <v>562</v>
      </c>
      <c r="H456" s="6" t="s">
        <v>61</v>
      </c>
      <c r="I456" s="6" t="s">
        <v>64</v>
      </c>
      <c r="J456" s="15">
        <v>59.34</v>
      </c>
      <c r="K456" s="13">
        <v>58</v>
      </c>
      <c r="L456" s="1"/>
    </row>
    <row r="457" spans="1:12" ht="21.95" customHeight="1">
      <c r="A457" s="1">
        <v>455</v>
      </c>
      <c r="B457" s="2" t="str">
        <f>"王金莲"</f>
        <v>王金莲</v>
      </c>
      <c r="C457" s="2" t="str">
        <f>"女"</f>
        <v>女</v>
      </c>
      <c r="D457" s="2" t="s">
        <v>11</v>
      </c>
      <c r="E457" s="2" t="s">
        <v>12</v>
      </c>
      <c r="F457" s="2" t="str">
        <f t="shared" si="23"/>
        <v>E2024022</v>
      </c>
      <c r="G457" s="2" t="s">
        <v>630</v>
      </c>
      <c r="H457" s="6" t="s">
        <v>62</v>
      </c>
      <c r="I457" s="6" t="s">
        <v>72</v>
      </c>
      <c r="J457" s="15">
        <v>58.61</v>
      </c>
      <c r="K457" s="13">
        <v>59</v>
      </c>
      <c r="L457" s="1"/>
    </row>
    <row r="458" spans="1:12" ht="21.95" customHeight="1">
      <c r="A458" s="1">
        <v>456</v>
      </c>
      <c r="B458" s="2" t="str">
        <f>"陈林峰"</f>
        <v>陈林峰</v>
      </c>
      <c r="C458" s="2" t="str">
        <f>"男"</f>
        <v>男</v>
      </c>
      <c r="D458" s="2" t="s">
        <v>11</v>
      </c>
      <c r="E458" s="2" t="s">
        <v>12</v>
      </c>
      <c r="F458" s="2" t="str">
        <f t="shared" si="23"/>
        <v>E2024022</v>
      </c>
      <c r="G458" s="2" t="s">
        <v>659</v>
      </c>
      <c r="H458" s="6" t="s">
        <v>44</v>
      </c>
      <c r="I458" s="6" t="s">
        <v>71</v>
      </c>
      <c r="J458" s="15">
        <v>58.24</v>
      </c>
      <c r="K458" s="13">
        <v>60</v>
      </c>
      <c r="L458" s="1"/>
    </row>
    <row r="459" spans="1:12" ht="21.95" customHeight="1">
      <c r="A459" s="1">
        <v>457</v>
      </c>
      <c r="B459" s="2" t="str">
        <f>"龚佳玥"</f>
        <v>龚佳玥</v>
      </c>
      <c r="C459" s="2" t="str">
        <f>"女"</f>
        <v>女</v>
      </c>
      <c r="D459" s="2" t="s">
        <v>11</v>
      </c>
      <c r="E459" s="2" t="s">
        <v>12</v>
      </c>
      <c r="F459" s="2" t="str">
        <f t="shared" si="23"/>
        <v>E2024022</v>
      </c>
      <c r="G459" s="2" t="s">
        <v>575</v>
      </c>
      <c r="H459" s="6" t="s">
        <v>42</v>
      </c>
      <c r="I459" s="6" t="s">
        <v>30</v>
      </c>
      <c r="J459" s="15">
        <v>57.83</v>
      </c>
      <c r="K459" s="13">
        <v>61</v>
      </c>
      <c r="L459" s="1"/>
    </row>
    <row r="460" spans="1:12" ht="21.95" customHeight="1">
      <c r="A460" s="1">
        <v>458</v>
      </c>
      <c r="B460" s="2" t="str">
        <f>"陈旭扬"</f>
        <v>陈旭扬</v>
      </c>
      <c r="C460" s="2" t="str">
        <f>"男"</f>
        <v>男</v>
      </c>
      <c r="D460" s="2" t="s">
        <v>11</v>
      </c>
      <c r="E460" s="2" t="s">
        <v>12</v>
      </c>
      <c r="F460" s="2" t="str">
        <f t="shared" si="23"/>
        <v>E2024022</v>
      </c>
      <c r="G460" s="2" t="s">
        <v>649</v>
      </c>
      <c r="H460" s="6" t="s">
        <v>44</v>
      </c>
      <c r="I460" s="6" t="s">
        <v>44</v>
      </c>
      <c r="J460" s="15">
        <v>53.85</v>
      </c>
      <c r="K460" s="13">
        <v>62</v>
      </c>
      <c r="L460" s="1"/>
    </row>
    <row r="461" spans="1:12" ht="21.95" customHeight="1">
      <c r="A461" s="1">
        <v>459</v>
      </c>
      <c r="B461" s="2" t="str">
        <f>"刘艳"</f>
        <v>刘艳</v>
      </c>
      <c r="C461" s="2" t="str">
        <f>"女"</f>
        <v>女</v>
      </c>
      <c r="D461" s="2" t="s">
        <v>11</v>
      </c>
      <c r="E461" s="2" t="s">
        <v>12</v>
      </c>
      <c r="F461" s="2" t="str">
        <f t="shared" si="23"/>
        <v>E2024022</v>
      </c>
      <c r="G461" s="2" t="s">
        <v>570</v>
      </c>
      <c r="H461" s="6" t="s">
        <v>61</v>
      </c>
      <c r="I461" s="6" t="s">
        <v>72</v>
      </c>
      <c r="J461" s="15">
        <v>49.7</v>
      </c>
      <c r="K461" s="13">
        <v>63</v>
      </c>
      <c r="L461" s="1"/>
    </row>
    <row r="462" spans="1:12" ht="21.95" customHeight="1">
      <c r="A462" s="1">
        <v>460</v>
      </c>
      <c r="B462" s="2" t="str">
        <f>"吴翊菲"</f>
        <v>吴翊菲</v>
      </c>
      <c r="C462" s="2" t="str">
        <f>"女"</f>
        <v>女</v>
      </c>
      <c r="D462" s="2" t="s">
        <v>11</v>
      </c>
      <c r="E462" s="2" t="s">
        <v>12</v>
      </c>
      <c r="F462" s="2" t="str">
        <f t="shared" si="23"/>
        <v>E2024022</v>
      </c>
      <c r="G462" s="2" t="s">
        <v>565</v>
      </c>
      <c r="H462" s="6" t="s">
        <v>61</v>
      </c>
      <c r="I462" s="6" t="s">
        <v>50</v>
      </c>
      <c r="J462" s="15">
        <v>43.1</v>
      </c>
      <c r="K462" s="13">
        <v>64</v>
      </c>
      <c r="L462" s="1"/>
    </row>
    <row r="463" spans="1:12" ht="21.95" customHeight="1">
      <c r="A463" s="1">
        <v>461</v>
      </c>
      <c r="B463" s="2" t="str">
        <f>"刘宇航"</f>
        <v>刘宇航</v>
      </c>
      <c r="C463" s="2" t="str">
        <f>"男"</f>
        <v>男</v>
      </c>
      <c r="D463" s="2" t="s">
        <v>11</v>
      </c>
      <c r="E463" s="2" t="s">
        <v>12</v>
      </c>
      <c r="F463" s="2" t="str">
        <f t="shared" ref="F463:F494" si="25">"E2024022"</f>
        <v>E2024022</v>
      </c>
      <c r="G463" s="2" t="s">
        <v>631</v>
      </c>
      <c r="H463" s="6" t="s">
        <v>93</v>
      </c>
      <c r="I463" s="6" t="s">
        <v>26</v>
      </c>
      <c r="J463" s="15">
        <v>36.619999999999997</v>
      </c>
      <c r="K463" s="13">
        <v>65</v>
      </c>
      <c r="L463" s="1"/>
    </row>
    <row r="464" spans="1:12" ht="21.95" customHeight="1">
      <c r="A464" s="1">
        <v>462</v>
      </c>
      <c r="B464" s="2" t="str">
        <f>"黄雪芹"</f>
        <v>黄雪芹</v>
      </c>
      <c r="C464" s="2" t="str">
        <f>"女"</f>
        <v>女</v>
      </c>
      <c r="D464" s="2" t="s">
        <v>11</v>
      </c>
      <c r="E464" s="2" t="s">
        <v>12</v>
      </c>
      <c r="F464" s="2" t="str">
        <f t="shared" si="25"/>
        <v>E2024022</v>
      </c>
      <c r="G464" s="2" t="s">
        <v>522</v>
      </c>
      <c r="H464" s="6" t="s">
        <v>40</v>
      </c>
      <c r="I464" s="6" t="s">
        <v>59</v>
      </c>
      <c r="J464" s="15"/>
      <c r="K464" s="13"/>
      <c r="L464" s="3" t="s">
        <v>831</v>
      </c>
    </row>
    <row r="465" spans="1:12" ht="21.95" customHeight="1">
      <c r="A465" s="1">
        <v>463</v>
      </c>
      <c r="B465" s="2" t="str">
        <f>"王其蓉"</f>
        <v>王其蓉</v>
      </c>
      <c r="C465" s="2" t="str">
        <f>"女"</f>
        <v>女</v>
      </c>
      <c r="D465" s="2" t="s">
        <v>11</v>
      </c>
      <c r="E465" s="2" t="s">
        <v>12</v>
      </c>
      <c r="F465" s="2" t="str">
        <f t="shared" si="25"/>
        <v>E2024022</v>
      </c>
      <c r="G465" s="2" t="s">
        <v>523</v>
      </c>
      <c r="H465" s="6" t="s">
        <v>40</v>
      </c>
      <c r="I465" s="6" t="s">
        <v>38</v>
      </c>
      <c r="J465" s="15"/>
      <c r="K465" s="13"/>
      <c r="L465" s="3" t="s">
        <v>831</v>
      </c>
    </row>
    <row r="466" spans="1:12" ht="21.95" customHeight="1">
      <c r="A466" s="1">
        <v>464</v>
      </c>
      <c r="B466" s="2" t="str">
        <f>"王月娇"</f>
        <v>王月娇</v>
      </c>
      <c r="C466" s="2" t="str">
        <f>"女"</f>
        <v>女</v>
      </c>
      <c r="D466" s="2" t="s">
        <v>11</v>
      </c>
      <c r="E466" s="2" t="s">
        <v>12</v>
      </c>
      <c r="F466" s="2" t="str">
        <f t="shared" si="25"/>
        <v>E2024022</v>
      </c>
      <c r="G466" s="2" t="s">
        <v>525</v>
      </c>
      <c r="H466" s="6" t="s">
        <v>40</v>
      </c>
      <c r="I466" s="6" t="s">
        <v>40</v>
      </c>
      <c r="J466" s="15"/>
      <c r="K466" s="13"/>
      <c r="L466" s="3" t="s">
        <v>831</v>
      </c>
    </row>
    <row r="467" spans="1:12" ht="21.95" customHeight="1">
      <c r="A467" s="1">
        <v>465</v>
      </c>
      <c r="B467" s="2" t="str">
        <f>"张许容"</f>
        <v>张许容</v>
      </c>
      <c r="C467" s="2" t="str">
        <f>"女"</f>
        <v>女</v>
      </c>
      <c r="D467" s="2" t="s">
        <v>11</v>
      </c>
      <c r="E467" s="2" t="s">
        <v>12</v>
      </c>
      <c r="F467" s="2" t="str">
        <f t="shared" si="25"/>
        <v>E2024022</v>
      </c>
      <c r="G467" s="2" t="s">
        <v>527</v>
      </c>
      <c r="H467" s="6" t="s">
        <v>40</v>
      </c>
      <c r="I467" s="6" t="s">
        <v>42</v>
      </c>
      <c r="J467" s="15"/>
      <c r="K467" s="13"/>
      <c r="L467" s="3" t="s">
        <v>831</v>
      </c>
    </row>
    <row r="468" spans="1:12" ht="21.95" customHeight="1">
      <c r="A468" s="1">
        <v>466</v>
      </c>
      <c r="B468" s="2" t="str">
        <f>"何小玲"</f>
        <v>何小玲</v>
      </c>
      <c r="C468" s="2" t="str">
        <f>"女"</f>
        <v>女</v>
      </c>
      <c r="D468" s="2" t="s">
        <v>11</v>
      </c>
      <c r="E468" s="2" t="s">
        <v>12</v>
      </c>
      <c r="F468" s="2" t="str">
        <f t="shared" si="25"/>
        <v>E2024022</v>
      </c>
      <c r="G468" s="2" t="s">
        <v>530</v>
      </c>
      <c r="H468" s="6" t="s">
        <v>40</v>
      </c>
      <c r="I468" s="6" t="s">
        <v>63</v>
      </c>
      <c r="J468" s="15"/>
      <c r="K468" s="13"/>
      <c r="L468" s="3" t="s">
        <v>831</v>
      </c>
    </row>
    <row r="469" spans="1:12" ht="21.95" customHeight="1">
      <c r="A469" s="1">
        <v>467</v>
      </c>
      <c r="B469" s="2" t="str">
        <f>"李金领"</f>
        <v>李金领</v>
      </c>
      <c r="C469" s="2" t="str">
        <f>"男"</f>
        <v>男</v>
      </c>
      <c r="D469" s="2" t="s">
        <v>11</v>
      </c>
      <c r="E469" s="2" t="s">
        <v>12</v>
      </c>
      <c r="F469" s="2" t="str">
        <f t="shared" si="25"/>
        <v>E2024022</v>
      </c>
      <c r="G469" s="2" t="s">
        <v>537</v>
      </c>
      <c r="H469" s="6" t="s">
        <v>40</v>
      </c>
      <c r="I469" s="6" t="s">
        <v>52</v>
      </c>
      <c r="J469" s="15"/>
      <c r="K469" s="13"/>
      <c r="L469" s="3" t="s">
        <v>831</v>
      </c>
    </row>
    <row r="470" spans="1:12" ht="21.95" customHeight="1">
      <c r="A470" s="1">
        <v>468</v>
      </c>
      <c r="B470" s="2" t="str">
        <f>"梁小珊"</f>
        <v>梁小珊</v>
      </c>
      <c r="C470" s="2" t="str">
        <f>"女"</f>
        <v>女</v>
      </c>
      <c r="D470" s="2" t="s">
        <v>11</v>
      </c>
      <c r="E470" s="2" t="s">
        <v>12</v>
      </c>
      <c r="F470" s="2" t="str">
        <f t="shared" si="25"/>
        <v>E2024022</v>
      </c>
      <c r="G470" s="2" t="s">
        <v>538</v>
      </c>
      <c r="H470" s="6" t="s">
        <v>40</v>
      </c>
      <c r="I470" s="6" t="s">
        <v>67</v>
      </c>
      <c r="J470" s="15"/>
      <c r="K470" s="13"/>
      <c r="L470" s="3" t="s">
        <v>831</v>
      </c>
    </row>
    <row r="471" spans="1:12" ht="21.95" customHeight="1">
      <c r="A471" s="1">
        <v>469</v>
      </c>
      <c r="B471" s="2" t="str">
        <f>"蒋晓玲"</f>
        <v>蒋晓玲</v>
      </c>
      <c r="C471" s="2" t="str">
        <f>"女"</f>
        <v>女</v>
      </c>
      <c r="D471" s="2" t="s">
        <v>11</v>
      </c>
      <c r="E471" s="2" t="s">
        <v>12</v>
      </c>
      <c r="F471" s="2" t="str">
        <f t="shared" si="25"/>
        <v>E2024022</v>
      </c>
      <c r="G471" s="2" t="s">
        <v>539</v>
      </c>
      <c r="H471" s="6" t="s">
        <v>40</v>
      </c>
      <c r="I471" s="6" t="s">
        <v>71</v>
      </c>
      <c r="J471" s="15"/>
      <c r="K471" s="13"/>
      <c r="L471" s="3" t="s">
        <v>831</v>
      </c>
    </row>
    <row r="472" spans="1:12" ht="21.95" customHeight="1">
      <c r="A472" s="1">
        <v>470</v>
      </c>
      <c r="B472" s="2" t="str">
        <f>"高赵一丹"</f>
        <v>高赵一丹</v>
      </c>
      <c r="C472" s="2" t="str">
        <f>"女"</f>
        <v>女</v>
      </c>
      <c r="D472" s="2" t="s">
        <v>11</v>
      </c>
      <c r="E472" s="2" t="s">
        <v>12</v>
      </c>
      <c r="F472" s="2" t="str">
        <f t="shared" si="25"/>
        <v>E2024022</v>
      </c>
      <c r="G472" s="2" t="s">
        <v>542</v>
      </c>
      <c r="H472" s="6" t="s">
        <v>90</v>
      </c>
      <c r="I472" s="6" t="s">
        <v>54</v>
      </c>
      <c r="J472" s="15"/>
      <c r="K472" s="13"/>
      <c r="L472" s="3" t="s">
        <v>831</v>
      </c>
    </row>
    <row r="473" spans="1:12" ht="21.95" customHeight="1">
      <c r="A473" s="1">
        <v>471</v>
      </c>
      <c r="B473" s="2" t="str">
        <f>"张林杰"</f>
        <v>张林杰</v>
      </c>
      <c r="C473" s="2" t="str">
        <f>"男"</f>
        <v>男</v>
      </c>
      <c r="D473" s="2" t="s">
        <v>11</v>
      </c>
      <c r="E473" s="2" t="s">
        <v>12</v>
      </c>
      <c r="F473" s="2" t="str">
        <f t="shared" si="25"/>
        <v>E2024022</v>
      </c>
      <c r="G473" s="2" t="s">
        <v>544</v>
      </c>
      <c r="H473" s="6" t="s">
        <v>61</v>
      </c>
      <c r="I473" s="6" t="s">
        <v>55</v>
      </c>
      <c r="J473" s="15"/>
      <c r="K473" s="13"/>
      <c r="L473" s="3" t="s">
        <v>831</v>
      </c>
    </row>
    <row r="474" spans="1:12" ht="21.95" customHeight="1">
      <c r="A474" s="1">
        <v>472</v>
      </c>
      <c r="B474" s="2" t="str">
        <f>"曹金祥"</f>
        <v>曹金祥</v>
      </c>
      <c r="C474" s="2" t="str">
        <f>"男"</f>
        <v>男</v>
      </c>
      <c r="D474" s="2" t="s">
        <v>11</v>
      </c>
      <c r="E474" s="2" t="s">
        <v>12</v>
      </c>
      <c r="F474" s="2" t="str">
        <f t="shared" si="25"/>
        <v>E2024022</v>
      </c>
      <c r="G474" s="2" t="s">
        <v>547</v>
      </c>
      <c r="H474" s="6" t="s">
        <v>61</v>
      </c>
      <c r="I474" s="6" t="s">
        <v>32</v>
      </c>
      <c r="J474" s="15"/>
      <c r="K474" s="13"/>
      <c r="L474" s="3" t="s">
        <v>831</v>
      </c>
    </row>
    <row r="475" spans="1:12" ht="21.95" customHeight="1">
      <c r="A475" s="1">
        <v>473</v>
      </c>
      <c r="B475" s="2" t="str">
        <f>"覃晓雪"</f>
        <v>覃晓雪</v>
      </c>
      <c r="C475" s="2" t="str">
        <f t="shared" ref="C475:C482" si="26">"女"</f>
        <v>女</v>
      </c>
      <c r="D475" s="2" t="s">
        <v>11</v>
      </c>
      <c r="E475" s="2" t="s">
        <v>12</v>
      </c>
      <c r="F475" s="2" t="str">
        <f t="shared" si="25"/>
        <v>E2024022</v>
      </c>
      <c r="G475" s="2" t="s">
        <v>548</v>
      </c>
      <c r="H475" s="6" t="s">
        <v>61</v>
      </c>
      <c r="I475" s="6" t="s">
        <v>57</v>
      </c>
      <c r="J475" s="15"/>
      <c r="K475" s="13"/>
      <c r="L475" s="3" t="s">
        <v>831</v>
      </c>
    </row>
    <row r="476" spans="1:12" ht="21.95" customHeight="1">
      <c r="A476" s="1">
        <v>474</v>
      </c>
      <c r="B476" s="2" t="str">
        <f>"张梅"</f>
        <v>张梅</v>
      </c>
      <c r="C476" s="2" t="str">
        <f t="shared" si="26"/>
        <v>女</v>
      </c>
      <c r="D476" s="2" t="s">
        <v>11</v>
      </c>
      <c r="E476" s="2" t="s">
        <v>12</v>
      </c>
      <c r="F476" s="2" t="str">
        <f t="shared" si="25"/>
        <v>E2024022</v>
      </c>
      <c r="G476" s="2" t="s">
        <v>549</v>
      </c>
      <c r="H476" s="6" t="s">
        <v>61</v>
      </c>
      <c r="I476" s="6" t="s">
        <v>34</v>
      </c>
      <c r="J476" s="15"/>
      <c r="K476" s="13"/>
      <c r="L476" s="3" t="s">
        <v>831</v>
      </c>
    </row>
    <row r="477" spans="1:12" ht="21.95" customHeight="1">
      <c r="A477" s="1">
        <v>475</v>
      </c>
      <c r="B477" s="2" t="str">
        <f>"唐枚丹"</f>
        <v>唐枚丹</v>
      </c>
      <c r="C477" s="2" t="str">
        <f t="shared" si="26"/>
        <v>女</v>
      </c>
      <c r="D477" s="2" t="s">
        <v>11</v>
      </c>
      <c r="E477" s="2" t="s">
        <v>12</v>
      </c>
      <c r="F477" s="2" t="str">
        <f t="shared" si="25"/>
        <v>E2024022</v>
      </c>
      <c r="G477" s="2" t="s">
        <v>550</v>
      </c>
      <c r="H477" s="6" t="s">
        <v>61</v>
      </c>
      <c r="I477" s="6" t="s">
        <v>58</v>
      </c>
      <c r="J477" s="15"/>
      <c r="K477" s="13"/>
      <c r="L477" s="3" t="s">
        <v>831</v>
      </c>
    </row>
    <row r="478" spans="1:12" ht="21.95" customHeight="1">
      <c r="A478" s="1">
        <v>476</v>
      </c>
      <c r="B478" s="2" t="str">
        <f>"韦维"</f>
        <v>韦维</v>
      </c>
      <c r="C478" s="2" t="str">
        <f t="shared" si="26"/>
        <v>女</v>
      </c>
      <c r="D478" s="2" t="s">
        <v>11</v>
      </c>
      <c r="E478" s="2" t="s">
        <v>12</v>
      </c>
      <c r="F478" s="2" t="str">
        <f t="shared" si="25"/>
        <v>E2024022</v>
      </c>
      <c r="G478" s="2" t="s">
        <v>552</v>
      </c>
      <c r="H478" s="6" t="s">
        <v>61</v>
      </c>
      <c r="I478" s="6" t="s">
        <v>59</v>
      </c>
      <c r="J478" s="15"/>
      <c r="K478" s="13"/>
      <c r="L478" s="3" t="s">
        <v>831</v>
      </c>
    </row>
    <row r="479" spans="1:12" ht="21.95" customHeight="1">
      <c r="A479" s="1">
        <v>477</v>
      </c>
      <c r="B479" s="2" t="str">
        <f>"李青艳"</f>
        <v>李青艳</v>
      </c>
      <c r="C479" s="2" t="str">
        <f t="shared" si="26"/>
        <v>女</v>
      </c>
      <c r="D479" s="2" t="s">
        <v>11</v>
      </c>
      <c r="E479" s="2" t="s">
        <v>12</v>
      </c>
      <c r="F479" s="2" t="str">
        <f t="shared" si="25"/>
        <v>E2024022</v>
      </c>
      <c r="G479" s="2" t="s">
        <v>555</v>
      </c>
      <c r="H479" s="6" t="s">
        <v>61</v>
      </c>
      <c r="I479" s="6" t="s">
        <v>40</v>
      </c>
      <c r="J479" s="15"/>
      <c r="K479" s="13"/>
      <c r="L479" s="3" t="s">
        <v>831</v>
      </c>
    </row>
    <row r="480" spans="1:12" ht="21.95" customHeight="1">
      <c r="A480" s="1">
        <v>478</v>
      </c>
      <c r="B480" s="2" t="str">
        <f>"谭红花"</f>
        <v>谭红花</v>
      </c>
      <c r="C480" s="2" t="str">
        <f t="shared" si="26"/>
        <v>女</v>
      </c>
      <c r="D480" s="2" t="s">
        <v>11</v>
      </c>
      <c r="E480" s="2" t="s">
        <v>12</v>
      </c>
      <c r="F480" s="2" t="str">
        <f t="shared" si="25"/>
        <v>E2024022</v>
      </c>
      <c r="G480" s="2" t="s">
        <v>556</v>
      </c>
      <c r="H480" s="6" t="s">
        <v>61</v>
      </c>
      <c r="I480" s="6" t="s">
        <v>61</v>
      </c>
      <c r="J480" s="15"/>
      <c r="K480" s="13"/>
      <c r="L480" s="3" t="s">
        <v>831</v>
      </c>
    </row>
    <row r="481" spans="1:12" ht="21.95" customHeight="1">
      <c r="A481" s="1">
        <v>479</v>
      </c>
      <c r="B481" s="2" t="str">
        <f>"罗春晏"</f>
        <v>罗春晏</v>
      </c>
      <c r="C481" s="2" t="str">
        <f t="shared" si="26"/>
        <v>女</v>
      </c>
      <c r="D481" s="2" t="s">
        <v>11</v>
      </c>
      <c r="E481" s="2" t="s">
        <v>12</v>
      </c>
      <c r="F481" s="2" t="str">
        <f t="shared" si="25"/>
        <v>E2024022</v>
      </c>
      <c r="G481" s="2" t="s">
        <v>558</v>
      </c>
      <c r="H481" s="6" t="s">
        <v>61</v>
      </c>
      <c r="I481" s="6" t="s">
        <v>62</v>
      </c>
      <c r="J481" s="15"/>
      <c r="K481" s="13"/>
      <c r="L481" s="3" t="s">
        <v>831</v>
      </c>
    </row>
    <row r="482" spans="1:12" ht="21.95" customHeight="1">
      <c r="A482" s="1">
        <v>480</v>
      </c>
      <c r="B482" s="2" t="str">
        <f>"王婷"</f>
        <v>王婷</v>
      </c>
      <c r="C482" s="2" t="str">
        <f t="shared" si="26"/>
        <v>女</v>
      </c>
      <c r="D482" s="2" t="s">
        <v>11</v>
      </c>
      <c r="E482" s="2" t="s">
        <v>12</v>
      </c>
      <c r="F482" s="2" t="str">
        <f t="shared" si="25"/>
        <v>E2024022</v>
      </c>
      <c r="G482" s="2" t="s">
        <v>560</v>
      </c>
      <c r="H482" s="6" t="s">
        <v>61</v>
      </c>
      <c r="I482" s="6" t="s">
        <v>63</v>
      </c>
      <c r="J482" s="15"/>
      <c r="K482" s="13"/>
      <c r="L482" s="3" t="s">
        <v>831</v>
      </c>
    </row>
    <row r="483" spans="1:12" ht="21.95" customHeight="1">
      <c r="A483" s="1">
        <v>481</v>
      </c>
      <c r="B483" s="2" t="str">
        <f>"崔越"</f>
        <v>崔越</v>
      </c>
      <c r="C483" s="2" t="str">
        <f>"男"</f>
        <v>男</v>
      </c>
      <c r="D483" s="2" t="s">
        <v>11</v>
      </c>
      <c r="E483" s="2" t="s">
        <v>12</v>
      </c>
      <c r="F483" s="2" t="str">
        <f t="shared" si="25"/>
        <v>E2024022</v>
      </c>
      <c r="G483" s="2" t="s">
        <v>561</v>
      </c>
      <c r="H483" s="6" t="s">
        <v>61</v>
      </c>
      <c r="I483" s="6" t="s">
        <v>46</v>
      </c>
      <c r="J483" s="15"/>
      <c r="K483" s="13"/>
      <c r="L483" s="3" t="s">
        <v>831</v>
      </c>
    </row>
    <row r="484" spans="1:12" ht="21.95" customHeight="1">
      <c r="A484" s="1">
        <v>482</v>
      </c>
      <c r="B484" s="2" t="str">
        <f>"董升涛"</f>
        <v>董升涛</v>
      </c>
      <c r="C484" s="2" t="str">
        <f>"男"</f>
        <v>男</v>
      </c>
      <c r="D484" s="2" t="s">
        <v>11</v>
      </c>
      <c r="E484" s="2" t="s">
        <v>12</v>
      </c>
      <c r="F484" s="2" t="str">
        <f t="shared" si="25"/>
        <v>E2024022</v>
      </c>
      <c r="G484" s="2" t="s">
        <v>564</v>
      </c>
      <c r="H484" s="6" t="s">
        <v>61</v>
      </c>
      <c r="I484" s="6" t="s">
        <v>65</v>
      </c>
      <c r="J484" s="15"/>
      <c r="K484" s="13"/>
      <c r="L484" s="3" t="s">
        <v>831</v>
      </c>
    </row>
    <row r="485" spans="1:12" ht="21.95" customHeight="1">
      <c r="A485" s="1">
        <v>483</v>
      </c>
      <c r="B485" s="2" t="str">
        <f>"邓冉清云"</f>
        <v>邓冉清云</v>
      </c>
      <c r="C485" s="2" t="str">
        <f>"女"</f>
        <v>女</v>
      </c>
      <c r="D485" s="2" t="s">
        <v>11</v>
      </c>
      <c r="E485" s="2" t="s">
        <v>12</v>
      </c>
      <c r="F485" s="2" t="str">
        <f t="shared" si="25"/>
        <v>E2024022</v>
      </c>
      <c r="G485" s="2" t="s">
        <v>566</v>
      </c>
      <c r="H485" s="6" t="s">
        <v>61</v>
      </c>
      <c r="I485" s="6" t="s">
        <v>66</v>
      </c>
      <c r="J485" s="15"/>
      <c r="K485" s="13"/>
      <c r="L485" s="3" t="s">
        <v>831</v>
      </c>
    </row>
    <row r="486" spans="1:12" ht="21.95" customHeight="1">
      <c r="A486" s="1">
        <v>484</v>
      </c>
      <c r="B486" s="2" t="str">
        <f>"祝娟"</f>
        <v>祝娟</v>
      </c>
      <c r="C486" s="2" t="str">
        <f>"女"</f>
        <v>女</v>
      </c>
      <c r="D486" s="2" t="s">
        <v>11</v>
      </c>
      <c r="E486" s="2" t="s">
        <v>12</v>
      </c>
      <c r="F486" s="2" t="str">
        <f t="shared" si="25"/>
        <v>E2024022</v>
      </c>
      <c r="G486" s="2" t="s">
        <v>567</v>
      </c>
      <c r="H486" s="6" t="s">
        <v>61</v>
      </c>
      <c r="I486" s="6" t="s">
        <v>52</v>
      </c>
      <c r="J486" s="15"/>
      <c r="K486" s="13"/>
      <c r="L486" s="3" t="s">
        <v>831</v>
      </c>
    </row>
    <row r="487" spans="1:12" ht="21.95" customHeight="1">
      <c r="A487" s="1">
        <v>485</v>
      </c>
      <c r="B487" s="2" t="str">
        <f>"向定青"</f>
        <v>向定青</v>
      </c>
      <c r="C487" s="2" t="str">
        <f>"男"</f>
        <v>男</v>
      </c>
      <c r="D487" s="2" t="s">
        <v>11</v>
      </c>
      <c r="E487" s="2" t="s">
        <v>12</v>
      </c>
      <c r="F487" s="2" t="str">
        <f t="shared" si="25"/>
        <v>E2024022</v>
      </c>
      <c r="G487" s="2" t="s">
        <v>568</v>
      </c>
      <c r="H487" s="6" t="s">
        <v>61</v>
      </c>
      <c r="I487" s="6" t="s">
        <v>67</v>
      </c>
      <c r="J487" s="15"/>
      <c r="K487" s="13"/>
      <c r="L487" s="3" t="s">
        <v>831</v>
      </c>
    </row>
    <row r="488" spans="1:12" ht="21.95" customHeight="1">
      <c r="A488" s="1">
        <v>486</v>
      </c>
      <c r="B488" s="2" t="str">
        <f>"刘娜娜"</f>
        <v>刘娜娜</v>
      </c>
      <c r="C488" s="2" t="str">
        <f>"女"</f>
        <v>女</v>
      </c>
      <c r="D488" s="2" t="s">
        <v>11</v>
      </c>
      <c r="E488" s="2" t="s">
        <v>12</v>
      </c>
      <c r="F488" s="2" t="str">
        <f t="shared" si="25"/>
        <v>E2024022</v>
      </c>
      <c r="G488" s="2" t="s">
        <v>569</v>
      </c>
      <c r="H488" s="6" t="s">
        <v>61</v>
      </c>
      <c r="I488" s="6" t="s">
        <v>71</v>
      </c>
      <c r="J488" s="15"/>
      <c r="K488" s="13"/>
      <c r="L488" s="3" t="s">
        <v>831</v>
      </c>
    </row>
    <row r="489" spans="1:12" ht="21.95" customHeight="1">
      <c r="A489" s="1">
        <v>487</v>
      </c>
      <c r="B489" s="2" t="str">
        <f>"朱迪"</f>
        <v>朱迪</v>
      </c>
      <c r="C489" s="2" t="str">
        <f>"男"</f>
        <v>男</v>
      </c>
      <c r="D489" s="2" t="s">
        <v>11</v>
      </c>
      <c r="E489" s="2" t="s">
        <v>12</v>
      </c>
      <c r="F489" s="2" t="str">
        <f t="shared" si="25"/>
        <v>E2024022</v>
      </c>
      <c r="G489" s="2" t="s">
        <v>573</v>
      </c>
      <c r="H489" s="6" t="s">
        <v>42</v>
      </c>
      <c r="I489" s="6" t="s">
        <v>28</v>
      </c>
      <c r="J489" s="15"/>
      <c r="K489" s="13"/>
      <c r="L489" s="3" t="s">
        <v>831</v>
      </c>
    </row>
    <row r="490" spans="1:12" ht="21.95" customHeight="1">
      <c r="A490" s="1">
        <v>488</v>
      </c>
      <c r="B490" s="2" t="str">
        <f>"杜航"</f>
        <v>杜航</v>
      </c>
      <c r="C490" s="2" t="str">
        <f>"男"</f>
        <v>男</v>
      </c>
      <c r="D490" s="2" t="s">
        <v>11</v>
      </c>
      <c r="E490" s="2" t="s">
        <v>12</v>
      </c>
      <c r="F490" s="2" t="str">
        <f t="shared" si="25"/>
        <v>E2024022</v>
      </c>
      <c r="G490" s="2" t="s">
        <v>574</v>
      </c>
      <c r="H490" s="6" t="s">
        <v>42</v>
      </c>
      <c r="I490" s="6" t="s">
        <v>55</v>
      </c>
      <c r="J490" s="15"/>
      <c r="K490" s="13"/>
      <c r="L490" s="3" t="s">
        <v>831</v>
      </c>
    </row>
    <row r="491" spans="1:12" ht="21.95" customHeight="1">
      <c r="A491" s="1">
        <v>489</v>
      </c>
      <c r="B491" s="2" t="str">
        <f>"向赛嫡"</f>
        <v>向赛嫡</v>
      </c>
      <c r="C491" s="2" t="str">
        <f>"女"</f>
        <v>女</v>
      </c>
      <c r="D491" s="2" t="s">
        <v>11</v>
      </c>
      <c r="E491" s="2" t="s">
        <v>12</v>
      </c>
      <c r="F491" s="2" t="str">
        <f t="shared" si="25"/>
        <v>E2024022</v>
      </c>
      <c r="G491" s="2" t="s">
        <v>579</v>
      </c>
      <c r="H491" s="6" t="s">
        <v>42</v>
      </c>
      <c r="I491" s="6" t="s">
        <v>34</v>
      </c>
      <c r="J491" s="15"/>
      <c r="K491" s="13"/>
      <c r="L491" s="3" t="s">
        <v>831</v>
      </c>
    </row>
    <row r="492" spans="1:12" ht="21.95" customHeight="1">
      <c r="A492" s="1">
        <v>490</v>
      </c>
      <c r="B492" s="2" t="str">
        <f>"张慧玲"</f>
        <v>张慧玲</v>
      </c>
      <c r="C492" s="2" t="str">
        <f>"女"</f>
        <v>女</v>
      </c>
      <c r="D492" s="2" t="s">
        <v>11</v>
      </c>
      <c r="E492" s="2" t="s">
        <v>12</v>
      </c>
      <c r="F492" s="2" t="str">
        <f t="shared" si="25"/>
        <v>E2024022</v>
      </c>
      <c r="G492" s="2" t="s">
        <v>583</v>
      </c>
      <c r="H492" s="6" t="s">
        <v>42</v>
      </c>
      <c r="I492" s="6" t="s">
        <v>38</v>
      </c>
      <c r="J492" s="15"/>
      <c r="K492" s="13"/>
      <c r="L492" s="3" t="s">
        <v>831</v>
      </c>
    </row>
    <row r="493" spans="1:12" ht="21.95" customHeight="1">
      <c r="A493" s="1">
        <v>491</v>
      </c>
      <c r="B493" s="2" t="str">
        <f>"谭浩然"</f>
        <v>谭浩然</v>
      </c>
      <c r="C493" s="2" t="str">
        <f>"男"</f>
        <v>男</v>
      </c>
      <c r="D493" s="2" t="s">
        <v>11</v>
      </c>
      <c r="E493" s="2" t="s">
        <v>12</v>
      </c>
      <c r="F493" s="2" t="str">
        <f t="shared" si="25"/>
        <v>E2024022</v>
      </c>
      <c r="G493" s="2" t="s">
        <v>585</v>
      </c>
      <c r="H493" s="6" t="s">
        <v>42</v>
      </c>
      <c r="I493" s="6" t="s">
        <v>40</v>
      </c>
      <c r="J493" s="15"/>
      <c r="K493" s="13"/>
      <c r="L493" s="3" t="s">
        <v>831</v>
      </c>
    </row>
    <row r="494" spans="1:12" ht="21.95" customHeight="1">
      <c r="A494" s="1">
        <v>492</v>
      </c>
      <c r="B494" s="2" t="str">
        <f>"聂富琴"</f>
        <v>聂富琴</v>
      </c>
      <c r="C494" s="2" t="str">
        <f>"女"</f>
        <v>女</v>
      </c>
      <c r="D494" s="2" t="s">
        <v>11</v>
      </c>
      <c r="E494" s="2" t="s">
        <v>12</v>
      </c>
      <c r="F494" s="2" t="str">
        <f t="shared" si="25"/>
        <v>E2024022</v>
      </c>
      <c r="G494" s="2" t="s">
        <v>587</v>
      </c>
      <c r="H494" s="6" t="s">
        <v>42</v>
      </c>
      <c r="I494" s="6" t="s">
        <v>42</v>
      </c>
      <c r="J494" s="15"/>
      <c r="K494" s="13"/>
      <c r="L494" s="3" t="s">
        <v>831</v>
      </c>
    </row>
    <row r="495" spans="1:12" ht="21.95" customHeight="1">
      <c r="A495" s="1">
        <v>493</v>
      </c>
      <c r="B495" s="2" t="str">
        <f>"康资唯"</f>
        <v>康资唯</v>
      </c>
      <c r="C495" s="2" t="str">
        <f>"女"</f>
        <v>女</v>
      </c>
      <c r="D495" s="2" t="s">
        <v>11</v>
      </c>
      <c r="E495" s="2" t="s">
        <v>12</v>
      </c>
      <c r="F495" s="2" t="str">
        <f t="shared" ref="F495:F526" si="27">"E2024022"</f>
        <v>E2024022</v>
      </c>
      <c r="G495" s="2" t="s">
        <v>588</v>
      </c>
      <c r="H495" s="6" t="s">
        <v>42</v>
      </c>
      <c r="I495" s="6" t="s">
        <v>62</v>
      </c>
      <c r="J495" s="15"/>
      <c r="K495" s="13"/>
      <c r="L495" s="3" t="s">
        <v>831</v>
      </c>
    </row>
    <row r="496" spans="1:12" ht="21.95" customHeight="1">
      <c r="A496" s="1">
        <v>494</v>
      </c>
      <c r="B496" s="2" t="str">
        <f>"李倩怡"</f>
        <v>李倩怡</v>
      </c>
      <c r="C496" s="2" t="str">
        <f>"女"</f>
        <v>女</v>
      </c>
      <c r="D496" s="2" t="s">
        <v>11</v>
      </c>
      <c r="E496" s="2" t="s">
        <v>12</v>
      </c>
      <c r="F496" s="2" t="str">
        <f t="shared" si="27"/>
        <v>E2024022</v>
      </c>
      <c r="G496" s="2" t="s">
        <v>589</v>
      </c>
      <c r="H496" s="6" t="s">
        <v>42</v>
      </c>
      <c r="I496" s="6" t="s">
        <v>44</v>
      </c>
      <c r="J496" s="15"/>
      <c r="K496" s="13"/>
      <c r="L496" s="3" t="s">
        <v>831</v>
      </c>
    </row>
    <row r="497" spans="1:12" ht="21.95" customHeight="1">
      <c r="A497" s="1">
        <v>495</v>
      </c>
      <c r="B497" s="2" t="str">
        <f>"谭磊"</f>
        <v>谭磊</v>
      </c>
      <c r="C497" s="2" t="str">
        <f>"男"</f>
        <v>男</v>
      </c>
      <c r="D497" s="2" t="s">
        <v>11</v>
      </c>
      <c r="E497" s="2" t="s">
        <v>12</v>
      </c>
      <c r="F497" s="2" t="str">
        <f t="shared" si="27"/>
        <v>E2024022</v>
      </c>
      <c r="G497" s="2" t="s">
        <v>590</v>
      </c>
      <c r="H497" s="6" t="s">
        <v>42</v>
      </c>
      <c r="I497" s="6" t="s">
        <v>63</v>
      </c>
      <c r="J497" s="15"/>
      <c r="K497" s="13"/>
      <c r="L497" s="3" t="s">
        <v>831</v>
      </c>
    </row>
    <row r="498" spans="1:12" ht="21.95" customHeight="1">
      <c r="A498" s="1">
        <v>496</v>
      </c>
      <c r="B498" s="2" t="str">
        <f>"邵玲"</f>
        <v>邵玲</v>
      </c>
      <c r="C498" s="2" t="str">
        <f>"女"</f>
        <v>女</v>
      </c>
      <c r="D498" s="2" t="s">
        <v>11</v>
      </c>
      <c r="E498" s="2" t="s">
        <v>12</v>
      </c>
      <c r="F498" s="2" t="str">
        <f t="shared" si="27"/>
        <v>E2024022</v>
      </c>
      <c r="G498" s="2" t="s">
        <v>591</v>
      </c>
      <c r="H498" s="6" t="s">
        <v>42</v>
      </c>
      <c r="I498" s="6" t="s">
        <v>46</v>
      </c>
      <c r="J498" s="15"/>
      <c r="K498" s="13"/>
      <c r="L498" s="3" t="s">
        <v>831</v>
      </c>
    </row>
    <row r="499" spans="1:12" ht="21.95" customHeight="1">
      <c r="A499" s="1">
        <v>497</v>
      </c>
      <c r="B499" s="2" t="str">
        <f>"姚庆庆"</f>
        <v>姚庆庆</v>
      </c>
      <c r="C499" s="2" t="str">
        <f>"女"</f>
        <v>女</v>
      </c>
      <c r="D499" s="2" t="s">
        <v>11</v>
      </c>
      <c r="E499" s="2" t="s">
        <v>12</v>
      </c>
      <c r="F499" s="2" t="str">
        <f t="shared" si="27"/>
        <v>E2024022</v>
      </c>
      <c r="G499" s="2" t="s">
        <v>592</v>
      </c>
      <c r="H499" s="6" t="s">
        <v>42</v>
      </c>
      <c r="I499" s="6" t="s">
        <v>64</v>
      </c>
      <c r="J499" s="15"/>
      <c r="K499" s="13"/>
      <c r="L499" s="3" t="s">
        <v>831</v>
      </c>
    </row>
    <row r="500" spans="1:12" ht="21.95" customHeight="1">
      <c r="A500" s="1">
        <v>498</v>
      </c>
      <c r="B500" s="2" t="str">
        <f>"胡蕾"</f>
        <v>胡蕾</v>
      </c>
      <c r="C500" s="2" t="str">
        <f>"女"</f>
        <v>女</v>
      </c>
      <c r="D500" s="2" t="s">
        <v>11</v>
      </c>
      <c r="E500" s="2" t="s">
        <v>12</v>
      </c>
      <c r="F500" s="2" t="str">
        <f t="shared" si="27"/>
        <v>E2024022</v>
      </c>
      <c r="G500" s="2" t="s">
        <v>600</v>
      </c>
      <c r="H500" s="6" t="s">
        <v>42</v>
      </c>
      <c r="I500" s="6" t="s">
        <v>72</v>
      </c>
      <c r="J500" s="15"/>
      <c r="K500" s="13"/>
      <c r="L500" s="3" t="s">
        <v>831</v>
      </c>
    </row>
    <row r="501" spans="1:12" ht="21.95" customHeight="1">
      <c r="A501" s="1">
        <v>499</v>
      </c>
      <c r="B501" s="2" t="str">
        <f>"徐安晴"</f>
        <v>徐安晴</v>
      </c>
      <c r="C501" s="2" t="str">
        <f>"女"</f>
        <v>女</v>
      </c>
      <c r="D501" s="2" t="s">
        <v>11</v>
      </c>
      <c r="E501" s="2" t="s">
        <v>12</v>
      </c>
      <c r="F501" s="2" t="str">
        <f t="shared" si="27"/>
        <v>E2024022</v>
      </c>
      <c r="G501" s="2" t="s">
        <v>601</v>
      </c>
      <c r="H501" s="6" t="s">
        <v>92</v>
      </c>
      <c r="I501" s="6" t="s">
        <v>26</v>
      </c>
      <c r="J501" s="15"/>
      <c r="K501" s="13"/>
      <c r="L501" s="3" t="s">
        <v>831</v>
      </c>
    </row>
    <row r="502" spans="1:12" ht="21.95" customHeight="1">
      <c r="A502" s="1">
        <v>500</v>
      </c>
      <c r="B502" s="2" t="str">
        <f>"杨春晗"</f>
        <v>杨春晗</v>
      </c>
      <c r="C502" s="2" t="str">
        <f>"男"</f>
        <v>男</v>
      </c>
      <c r="D502" s="2" t="s">
        <v>11</v>
      </c>
      <c r="E502" s="2" t="s">
        <v>12</v>
      </c>
      <c r="F502" s="2" t="str">
        <f t="shared" si="27"/>
        <v>E2024022</v>
      </c>
      <c r="G502" s="2" t="s">
        <v>602</v>
      </c>
      <c r="H502" s="6" t="s">
        <v>92</v>
      </c>
      <c r="I502" s="6" t="s">
        <v>54</v>
      </c>
      <c r="J502" s="15"/>
      <c r="K502" s="13"/>
      <c r="L502" s="3" t="s">
        <v>831</v>
      </c>
    </row>
    <row r="503" spans="1:12" ht="21.95" customHeight="1">
      <c r="A503" s="1">
        <v>501</v>
      </c>
      <c r="B503" s="2" t="str">
        <f>"祝先智"</f>
        <v>祝先智</v>
      </c>
      <c r="C503" s="2" t="str">
        <f>"男"</f>
        <v>男</v>
      </c>
      <c r="D503" s="2" t="s">
        <v>11</v>
      </c>
      <c r="E503" s="2" t="s">
        <v>12</v>
      </c>
      <c r="F503" s="2" t="str">
        <f t="shared" si="27"/>
        <v>E2024022</v>
      </c>
      <c r="G503" s="2" t="s">
        <v>605</v>
      </c>
      <c r="H503" s="6" t="s">
        <v>62</v>
      </c>
      <c r="I503" s="6" t="s">
        <v>30</v>
      </c>
      <c r="J503" s="15"/>
      <c r="K503" s="13"/>
      <c r="L503" s="3" t="s">
        <v>831</v>
      </c>
    </row>
    <row r="504" spans="1:12" ht="21.95" customHeight="1">
      <c r="A504" s="1">
        <v>502</v>
      </c>
      <c r="B504" s="2" t="str">
        <f>"朱亚新"</f>
        <v>朱亚新</v>
      </c>
      <c r="C504" s="2" t="str">
        <f t="shared" ref="C504:C535" si="28">"女"</f>
        <v>女</v>
      </c>
      <c r="D504" s="2" t="s">
        <v>11</v>
      </c>
      <c r="E504" s="2" t="s">
        <v>12</v>
      </c>
      <c r="F504" s="2" t="str">
        <f t="shared" si="27"/>
        <v>E2024022</v>
      </c>
      <c r="G504" s="2" t="s">
        <v>606</v>
      </c>
      <c r="H504" s="6" t="s">
        <v>62</v>
      </c>
      <c r="I504" s="6" t="s">
        <v>56</v>
      </c>
      <c r="J504" s="15"/>
      <c r="K504" s="13"/>
      <c r="L504" s="3" t="s">
        <v>831</v>
      </c>
    </row>
    <row r="505" spans="1:12" ht="21.95" customHeight="1">
      <c r="A505" s="1">
        <v>503</v>
      </c>
      <c r="B505" s="2" t="str">
        <f>"向丽"</f>
        <v>向丽</v>
      </c>
      <c r="C505" s="2" t="str">
        <f t="shared" si="28"/>
        <v>女</v>
      </c>
      <c r="D505" s="2" t="s">
        <v>11</v>
      </c>
      <c r="E505" s="2" t="s">
        <v>12</v>
      </c>
      <c r="F505" s="2" t="str">
        <f t="shared" si="27"/>
        <v>E2024022</v>
      </c>
      <c r="G505" s="2" t="s">
        <v>607</v>
      </c>
      <c r="H505" s="6" t="s">
        <v>62</v>
      </c>
      <c r="I505" s="6" t="s">
        <v>32</v>
      </c>
      <c r="J505" s="15"/>
      <c r="K505" s="13"/>
      <c r="L505" s="3" t="s">
        <v>831</v>
      </c>
    </row>
    <row r="506" spans="1:12" ht="21.95" customHeight="1">
      <c r="A506" s="1">
        <v>504</v>
      </c>
      <c r="B506" s="2" t="str">
        <f>"李艳红"</f>
        <v>李艳红</v>
      </c>
      <c r="C506" s="2" t="str">
        <f t="shared" si="28"/>
        <v>女</v>
      </c>
      <c r="D506" s="2" t="s">
        <v>11</v>
      </c>
      <c r="E506" s="2" t="s">
        <v>12</v>
      </c>
      <c r="F506" s="2" t="str">
        <f t="shared" si="27"/>
        <v>E2024022</v>
      </c>
      <c r="G506" s="2" t="s">
        <v>608</v>
      </c>
      <c r="H506" s="6" t="s">
        <v>62</v>
      </c>
      <c r="I506" s="6" t="s">
        <v>57</v>
      </c>
      <c r="J506" s="15"/>
      <c r="K506" s="13"/>
      <c r="L506" s="3" t="s">
        <v>831</v>
      </c>
    </row>
    <row r="507" spans="1:12" ht="21.95" customHeight="1">
      <c r="A507" s="1">
        <v>505</v>
      </c>
      <c r="B507" s="2" t="str">
        <f>"李桂英"</f>
        <v>李桂英</v>
      </c>
      <c r="C507" s="2" t="str">
        <f t="shared" si="28"/>
        <v>女</v>
      </c>
      <c r="D507" s="2" t="s">
        <v>11</v>
      </c>
      <c r="E507" s="2" t="s">
        <v>12</v>
      </c>
      <c r="F507" s="2" t="str">
        <f t="shared" si="27"/>
        <v>E2024022</v>
      </c>
      <c r="G507" s="2" t="s">
        <v>609</v>
      </c>
      <c r="H507" s="6" t="s">
        <v>62</v>
      </c>
      <c r="I507" s="6" t="s">
        <v>34</v>
      </c>
      <c r="J507" s="15"/>
      <c r="K507" s="13"/>
      <c r="L507" s="3" t="s">
        <v>831</v>
      </c>
    </row>
    <row r="508" spans="1:12" ht="21.95" customHeight="1">
      <c r="A508" s="1">
        <v>506</v>
      </c>
      <c r="B508" s="2" t="str">
        <f>"汪珊"</f>
        <v>汪珊</v>
      </c>
      <c r="C508" s="2" t="str">
        <f t="shared" si="28"/>
        <v>女</v>
      </c>
      <c r="D508" s="2" t="s">
        <v>11</v>
      </c>
      <c r="E508" s="2" t="s">
        <v>12</v>
      </c>
      <c r="F508" s="2" t="str">
        <f t="shared" si="27"/>
        <v>E2024022</v>
      </c>
      <c r="G508" s="2" t="s">
        <v>611</v>
      </c>
      <c r="H508" s="6" t="s">
        <v>62</v>
      </c>
      <c r="I508" s="6" t="s">
        <v>36</v>
      </c>
      <c r="J508" s="15"/>
      <c r="K508" s="13"/>
      <c r="L508" s="3" t="s">
        <v>831</v>
      </c>
    </row>
    <row r="509" spans="1:12" ht="21.95" customHeight="1">
      <c r="A509" s="1">
        <v>507</v>
      </c>
      <c r="B509" s="2" t="str">
        <f>"冉航"</f>
        <v>冉航</v>
      </c>
      <c r="C509" s="2" t="str">
        <f t="shared" si="28"/>
        <v>女</v>
      </c>
      <c r="D509" s="2" t="s">
        <v>11</v>
      </c>
      <c r="E509" s="2" t="s">
        <v>12</v>
      </c>
      <c r="F509" s="2" t="str">
        <f t="shared" si="27"/>
        <v>E2024022</v>
      </c>
      <c r="G509" s="2" t="s">
        <v>612</v>
      </c>
      <c r="H509" s="6" t="s">
        <v>62</v>
      </c>
      <c r="I509" s="6" t="s">
        <v>59</v>
      </c>
      <c r="J509" s="15"/>
      <c r="K509" s="13"/>
      <c r="L509" s="3" t="s">
        <v>831</v>
      </c>
    </row>
    <row r="510" spans="1:12" ht="21.95" customHeight="1">
      <c r="A510" s="1">
        <v>508</v>
      </c>
      <c r="B510" s="2" t="str">
        <f>"郑爽"</f>
        <v>郑爽</v>
      </c>
      <c r="C510" s="2" t="str">
        <f t="shared" si="28"/>
        <v>女</v>
      </c>
      <c r="D510" s="2" t="s">
        <v>11</v>
      </c>
      <c r="E510" s="2" t="s">
        <v>12</v>
      </c>
      <c r="F510" s="2" t="str">
        <f t="shared" si="27"/>
        <v>E2024022</v>
      </c>
      <c r="G510" s="2" t="s">
        <v>618</v>
      </c>
      <c r="H510" s="6" t="s">
        <v>62</v>
      </c>
      <c r="I510" s="6" t="s">
        <v>62</v>
      </c>
      <c r="J510" s="15"/>
      <c r="K510" s="13"/>
      <c r="L510" s="3" t="s">
        <v>831</v>
      </c>
    </row>
    <row r="511" spans="1:12" ht="21.95" customHeight="1">
      <c r="A511" s="1">
        <v>509</v>
      </c>
      <c r="B511" s="2" t="str">
        <f>"刘金兰"</f>
        <v>刘金兰</v>
      </c>
      <c r="C511" s="2" t="str">
        <f t="shared" si="28"/>
        <v>女</v>
      </c>
      <c r="D511" s="2" t="s">
        <v>11</v>
      </c>
      <c r="E511" s="2" t="s">
        <v>12</v>
      </c>
      <c r="F511" s="2" t="str">
        <f t="shared" si="27"/>
        <v>E2024022</v>
      </c>
      <c r="G511" s="2" t="s">
        <v>619</v>
      </c>
      <c r="H511" s="6" t="s">
        <v>62</v>
      </c>
      <c r="I511" s="6" t="s">
        <v>44</v>
      </c>
      <c r="J511" s="15"/>
      <c r="K511" s="13"/>
      <c r="L511" s="3" t="s">
        <v>831</v>
      </c>
    </row>
    <row r="512" spans="1:12" ht="21.95" customHeight="1">
      <c r="A512" s="1">
        <v>510</v>
      </c>
      <c r="B512" s="2" t="str">
        <f>"陈敏"</f>
        <v>陈敏</v>
      </c>
      <c r="C512" s="2" t="str">
        <f t="shared" si="28"/>
        <v>女</v>
      </c>
      <c r="D512" s="2" t="s">
        <v>11</v>
      </c>
      <c r="E512" s="2" t="s">
        <v>12</v>
      </c>
      <c r="F512" s="2" t="str">
        <f t="shared" si="27"/>
        <v>E2024022</v>
      </c>
      <c r="G512" s="2" t="s">
        <v>621</v>
      </c>
      <c r="H512" s="6" t="s">
        <v>62</v>
      </c>
      <c r="I512" s="6" t="s">
        <v>46</v>
      </c>
      <c r="J512" s="15"/>
      <c r="K512" s="13"/>
      <c r="L512" s="3" t="s">
        <v>831</v>
      </c>
    </row>
    <row r="513" spans="1:12" ht="21.95" customHeight="1">
      <c r="A513" s="1">
        <v>511</v>
      </c>
      <c r="B513" s="2" t="str">
        <f>"周恩敬"</f>
        <v>周恩敬</v>
      </c>
      <c r="C513" s="2" t="str">
        <f t="shared" si="28"/>
        <v>女</v>
      </c>
      <c r="D513" s="2" t="s">
        <v>11</v>
      </c>
      <c r="E513" s="2" t="s">
        <v>12</v>
      </c>
      <c r="F513" s="2" t="str">
        <f t="shared" si="27"/>
        <v>E2024022</v>
      </c>
      <c r="G513" s="2" t="s">
        <v>622</v>
      </c>
      <c r="H513" s="6" t="s">
        <v>62</v>
      </c>
      <c r="I513" s="6" t="s">
        <v>64</v>
      </c>
      <c r="J513" s="15"/>
      <c r="K513" s="13"/>
      <c r="L513" s="3" t="s">
        <v>831</v>
      </c>
    </row>
    <row r="514" spans="1:12" ht="21.95" customHeight="1">
      <c r="A514" s="1">
        <v>512</v>
      </c>
      <c r="B514" s="2" t="str">
        <f>"彭琳坤"</f>
        <v>彭琳坤</v>
      </c>
      <c r="C514" s="2" t="str">
        <f t="shared" si="28"/>
        <v>女</v>
      </c>
      <c r="D514" s="2" t="s">
        <v>11</v>
      </c>
      <c r="E514" s="2" t="s">
        <v>12</v>
      </c>
      <c r="F514" s="2" t="str">
        <f t="shared" si="27"/>
        <v>E2024022</v>
      </c>
      <c r="G514" s="2" t="s">
        <v>623</v>
      </c>
      <c r="H514" s="6" t="s">
        <v>62</v>
      </c>
      <c r="I514" s="6" t="s">
        <v>48</v>
      </c>
      <c r="J514" s="15"/>
      <c r="K514" s="13"/>
      <c r="L514" s="3" t="s">
        <v>831</v>
      </c>
    </row>
    <row r="515" spans="1:12" ht="21.95" customHeight="1">
      <c r="A515" s="1">
        <v>513</v>
      </c>
      <c r="B515" s="2" t="str">
        <f>"陈慧玲"</f>
        <v>陈慧玲</v>
      </c>
      <c r="C515" s="2" t="str">
        <f t="shared" si="28"/>
        <v>女</v>
      </c>
      <c r="D515" s="2" t="s">
        <v>11</v>
      </c>
      <c r="E515" s="2" t="s">
        <v>12</v>
      </c>
      <c r="F515" s="2" t="str">
        <f t="shared" si="27"/>
        <v>E2024022</v>
      </c>
      <c r="G515" s="2" t="s">
        <v>626</v>
      </c>
      <c r="H515" s="6" t="s">
        <v>62</v>
      </c>
      <c r="I515" s="6" t="s">
        <v>66</v>
      </c>
      <c r="J515" s="15"/>
      <c r="K515" s="13"/>
      <c r="L515" s="3" t="s">
        <v>831</v>
      </c>
    </row>
    <row r="516" spans="1:12" ht="21.95" customHeight="1">
      <c r="A516" s="1">
        <v>514</v>
      </c>
      <c r="B516" s="2" t="str">
        <f>"唐丹"</f>
        <v>唐丹</v>
      </c>
      <c r="C516" s="2" t="str">
        <f t="shared" si="28"/>
        <v>女</v>
      </c>
      <c r="D516" s="2" t="s">
        <v>11</v>
      </c>
      <c r="E516" s="2" t="s">
        <v>12</v>
      </c>
      <c r="F516" s="2" t="str">
        <f t="shared" si="27"/>
        <v>E2024022</v>
      </c>
      <c r="G516" s="2" t="s">
        <v>629</v>
      </c>
      <c r="H516" s="6" t="s">
        <v>62</v>
      </c>
      <c r="I516" s="6" t="s">
        <v>71</v>
      </c>
      <c r="J516" s="15"/>
      <c r="K516" s="13"/>
      <c r="L516" s="3" t="s">
        <v>831</v>
      </c>
    </row>
    <row r="517" spans="1:12" ht="21.95" customHeight="1">
      <c r="A517" s="1">
        <v>515</v>
      </c>
      <c r="B517" s="2" t="str">
        <f>"韦甜"</f>
        <v>韦甜</v>
      </c>
      <c r="C517" s="2" t="str">
        <f t="shared" si="28"/>
        <v>女</v>
      </c>
      <c r="D517" s="2" t="s">
        <v>11</v>
      </c>
      <c r="E517" s="2" t="s">
        <v>12</v>
      </c>
      <c r="F517" s="2" t="str">
        <f t="shared" si="27"/>
        <v>E2024022</v>
      </c>
      <c r="G517" s="2" t="s">
        <v>632</v>
      </c>
      <c r="H517" s="6" t="s">
        <v>93</v>
      </c>
      <c r="I517" s="6" t="s">
        <v>54</v>
      </c>
      <c r="J517" s="15"/>
      <c r="K517" s="13"/>
      <c r="L517" s="3" t="s">
        <v>831</v>
      </c>
    </row>
    <row r="518" spans="1:12" ht="21.95" customHeight="1">
      <c r="A518" s="1">
        <v>516</v>
      </c>
      <c r="B518" s="2" t="str">
        <f>"覃丽娅"</f>
        <v>覃丽娅</v>
      </c>
      <c r="C518" s="2" t="str">
        <f t="shared" si="28"/>
        <v>女</v>
      </c>
      <c r="D518" s="2" t="s">
        <v>11</v>
      </c>
      <c r="E518" s="2" t="s">
        <v>12</v>
      </c>
      <c r="F518" s="2" t="str">
        <f t="shared" si="27"/>
        <v>E2024022</v>
      </c>
      <c r="G518" s="2" t="s">
        <v>633</v>
      </c>
      <c r="H518" s="6" t="s">
        <v>44</v>
      </c>
      <c r="I518" s="6" t="s">
        <v>28</v>
      </c>
      <c r="J518" s="15"/>
      <c r="K518" s="13"/>
      <c r="L518" s="3" t="s">
        <v>831</v>
      </c>
    </row>
    <row r="519" spans="1:12" ht="21.95" customHeight="1">
      <c r="A519" s="1">
        <v>517</v>
      </c>
      <c r="B519" s="2" t="str">
        <f>"易卉"</f>
        <v>易卉</v>
      </c>
      <c r="C519" s="2" t="str">
        <f t="shared" si="28"/>
        <v>女</v>
      </c>
      <c r="D519" s="2" t="s">
        <v>11</v>
      </c>
      <c r="E519" s="2" t="s">
        <v>12</v>
      </c>
      <c r="F519" s="2" t="str">
        <f t="shared" si="27"/>
        <v>E2024022</v>
      </c>
      <c r="G519" s="2" t="s">
        <v>634</v>
      </c>
      <c r="H519" s="6" t="s">
        <v>44</v>
      </c>
      <c r="I519" s="6" t="s">
        <v>55</v>
      </c>
      <c r="J519" s="15"/>
      <c r="K519" s="13"/>
      <c r="L519" s="3" t="s">
        <v>831</v>
      </c>
    </row>
    <row r="520" spans="1:12" ht="21.95" customHeight="1">
      <c r="A520" s="1">
        <v>518</v>
      </c>
      <c r="B520" s="2" t="str">
        <f>"刘先采"</f>
        <v>刘先采</v>
      </c>
      <c r="C520" s="2" t="str">
        <f t="shared" si="28"/>
        <v>女</v>
      </c>
      <c r="D520" s="2" t="s">
        <v>11</v>
      </c>
      <c r="E520" s="2" t="s">
        <v>12</v>
      </c>
      <c r="F520" s="2" t="str">
        <f t="shared" si="27"/>
        <v>E2024022</v>
      </c>
      <c r="G520" s="2" t="s">
        <v>635</v>
      </c>
      <c r="H520" s="6" t="s">
        <v>44</v>
      </c>
      <c r="I520" s="6" t="s">
        <v>30</v>
      </c>
      <c r="J520" s="15"/>
      <c r="K520" s="13"/>
      <c r="L520" s="3" t="s">
        <v>831</v>
      </c>
    </row>
    <row r="521" spans="1:12" ht="21.95" customHeight="1">
      <c r="A521" s="1">
        <v>519</v>
      </c>
      <c r="B521" s="2" t="str">
        <f>"黄建宁"</f>
        <v>黄建宁</v>
      </c>
      <c r="C521" s="2" t="str">
        <f t="shared" si="28"/>
        <v>女</v>
      </c>
      <c r="D521" s="2" t="s">
        <v>11</v>
      </c>
      <c r="E521" s="2" t="s">
        <v>12</v>
      </c>
      <c r="F521" s="2" t="str">
        <f t="shared" si="27"/>
        <v>E2024022</v>
      </c>
      <c r="G521" s="2" t="s">
        <v>637</v>
      </c>
      <c r="H521" s="6" t="s">
        <v>44</v>
      </c>
      <c r="I521" s="6" t="s">
        <v>32</v>
      </c>
      <c r="J521" s="15"/>
      <c r="K521" s="13"/>
      <c r="L521" s="3" t="s">
        <v>831</v>
      </c>
    </row>
    <row r="522" spans="1:12" ht="21.95" customHeight="1">
      <c r="A522" s="1">
        <v>520</v>
      </c>
      <c r="B522" s="2" t="str">
        <f>"郎少慧"</f>
        <v>郎少慧</v>
      </c>
      <c r="C522" s="2" t="str">
        <f t="shared" si="28"/>
        <v>女</v>
      </c>
      <c r="D522" s="2" t="s">
        <v>11</v>
      </c>
      <c r="E522" s="2" t="s">
        <v>12</v>
      </c>
      <c r="F522" s="2" t="str">
        <f t="shared" si="27"/>
        <v>E2024022</v>
      </c>
      <c r="G522" s="2" t="s">
        <v>638</v>
      </c>
      <c r="H522" s="6" t="s">
        <v>44</v>
      </c>
      <c r="I522" s="6" t="s">
        <v>57</v>
      </c>
      <c r="J522" s="15"/>
      <c r="K522" s="13"/>
      <c r="L522" s="3" t="s">
        <v>831</v>
      </c>
    </row>
    <row r="523" spans="1:12" ht="21.95" customHeight="1">
      <c r="A523" s="1">
        <v>521</v>
      </c>
      <c r="B523" s="2" t="str">
        <f>"张丽芳"</f>
        <v>张丽芳</v>
      </c>
      <c r="C523" s="2" t="str">
        <f t="shared" si="28"/>
        <v>女</v>
      </c>
      <c r="D523" s="2" t="s">
        <v>11</v>
      </c>
      <c r="E523" s="2" t="s">
        <v>12</v>
      </c>
      <c r="F523" s="2" t="str">
        <f t="shared" si="27"/>
        <v>E2024022</v>
      </c>
      <c r="G523" s="2" t="s">
        <v>639</v>
      </c>
      <c r="H523" s="6" t="s">
        <v>44</v>
      </c>
      <c r="I523" s="6" t="s">
        <v>34</v>
      </c>
      <c r="J523" s="15"/>
      <c r="K523" s="13"/>
      <c r="L523" s="3" t="s">
        <v>831</v>
      </c>
    </row>
    <row r="524" spans="1:12" ht="21.95" customHeight="1">
      <c r="A524" s="1">
        <v>522</v>
      </c>
      <c r="B524" s="2" t="str">
        <f>"任倩倩"</f>
        <v>任倩倩</v>
      </c>
      <c r="C524" s="2" t="str">
        <f t="shared" si="28"/>
        <v>女</v>
      </c>
      <c r="D524" s="2" t="s">
        <v>11</v>
      </c>
      <c r="E524" s="2" t="s">
        <v>12</v>
      </c>
      <c r="F524" s="2" t="str">
        <f t="shared" si="27"/>
        <v>E2024022</v>
      </c>
      <c r="G524" s="2" t="s">
        <v>640</v>
      </c>
      <c r="H524" s="6" t="s">
        <v>44</v>
      </c>
      <c r="I524" s="6" t="s">
        <v>58</v>
      </c>
      <c r="J524" s="15"/>
      <c r="K524" s="13"/>
      <c r="L524" s="3" t="s">
        <v>831</v>
      </c>
    </row>
    <row r="525" spans="1:12" ht="21.95" customHeight="1">
      <c r="A525" s="1">
        <v>523</v>
      </c>
      <c r="B525" s="2" t="str">
        <f>"费婷婷"</f>
        <v>费婷婷</v>
      </c>
      <c r="C525" s="2" t="str">
        <f t="shared" si="28"/>
        <v>女</v>
      </c>
      <c r="D525" s="2" t="s">
        <v>11</v>
      </c>
      <c r="E525" s="2" t="s">
        <v>12</v>
      </c>
      <c r="F525" s="2" t="str">
        <f t="shared" si="27"/>
        <v>E2024022</v>
      </c>
      <c r="G525" s="2" t="s">
        <v>642</v>
      </c>
      <c r="H525" s="6" t="s">
        <v>44</v>
      </c>
      <c r="I525" s="6" t="s">
        <v>59</v>
      </c>
      <c r="J525" s="15"/>
      <c r="K525" s="13"/>
      <c r="L525" s="3" t="s">
        <v>831</v>
      </c>
    </row>
    <row r="526" spans="1:12" ht="21.95" customHeight="1">
      <c r="A526" s="1">
        <v>524</v>
      </c>
      <c r="B526" s="2" t="str">
        <f>"徐淑蓉"</f>
        <v>徐淑蓉</v>
      </c>
      <c r="C526" s="2" t="str">
        <f t="shared" si="28"/>
        <v>女</v>
      </c>
      <c r="D526" s="2" t="s">
        <v>11</v>
      </c>
      <c r="E526" s="2" t="s">
        <v>12</v>
      </c>
      <c r="F526" s="2" t="str">
        <f t="shared" si="27"/>
        <v>E2024022</v>
      </c>
      <c r="G526" s="2" t="s">
        <v>645</v>
      </c>
      <c r="H526" s="6" t="s">
        <v>44</v>
      </c>
      <c r="I526" s="6" t="s">
        <v>40</v>
      </c>
      <c r="J526" s="15"/>
      <c r="K526" s="13"/>
      <c r="L526" s="3" t="s">
        <v>831</v>
      </c>
    </row>
    <row r="527" spans="1:12" ht="21.95" customHeight="1">
      <c r="A527" s="1">
        <v>525</v>
      </c>
      <c r="B527" s="2" t="str">
        <f>"陈子薇"</f>
        <v>陈子薇</v>
      </c>
      <c r="C527" s="2" t="str">
        <f t="shared" si="28"/>
        <v>女</v>
      </c>
      <c r="D527" s="2" t="s">
        <v>11</v>
      </c>
      <c r="E527" s="2" t="s">
        <v>12</v>
      </c>
      <c r="F527" s="2" t="str">
        <f t="shared" ref="F527:F537" si="29">"E2024022"</f>
        <v>E2024022</v>
      </c>
      <c r="G527" s="2" t="s">
        <v>646</v>
      </c>
      <c r="H527" s="6" t="s">
        <v>44</v>
      </c>
      <c r="I527" s="6" t="s">
        <v>61</v>
      </c>
      <c r="J527" s="15"/>
      <c r="K527" s="13"/>
      <c r="L527" s="3" t="s">
        <v>831</v>
      </c>
    </row>
    <row r="528" spans="1:12" ht="21.95" customHeight="1">
      <c r="A528" s="1">
        <v>526</v>
      </c>
      <c r="B528" s="2" t="str">
        <f>"易前香"</f>
        <v>易前香</v>
      </c>
      <c r="C528" s="2" t="str">
        <f t="shared" si="28"/>
        <v>女</v>
      </c>
      <c r="D528" s="2" t="s">
        <v>11</v>
      </c>
      <c r="E528" s="2" t="s">
        <v>12</v>
      </c>
      <c r="F528" s="2" t="str">
        <f t="shared" si="29"/>
        <v>E2024022</v>
      </c>
      <c r="G528" s="2" t="s">
        <v>647</v>
      </c>
      <c r="H528" s="6" t="s">
        <v>44</v>
      </c>
      <c r="I528" s="6" t="s">
        <v>42</v>
      </c>
      <c r="J528" s="15"/>
      <c r="K528" s="13"/>
      <c r="L528" s="3" t="s">
        <v>831</v>
      </c>
    </row>
    <row r="529" spans="1:12" ht="21.95" customHeight="1">
      <c r="A529" s="1">
        <v>527</v>
      </c>
      <c r="B529" s="2" t="str">
        <f>"郎坜"</f>
        <v>郎坜</v>
      </c>
      <c r="C529" s="2" t="str">
        <f t="shared" si="28"/>
        <v>女</v>
      </c>
      <c r="D529" s="2" t="s">
        <v>11</v>
      </c>
      <c r="E529" s="2" t="s">
        <v>12</v>
      </c>
      <c r="F529" s="2" t="str">
        <f t="shared" si="29"/>
        <v>E2024022</v>
      </c>
      <c r="G529" s="2" t="s">
        <v>650</v>
      </c>
      <c r="H529" s="6" t="s">
        <v>44</v>
      </c>
      <c r="I529" s="6" t="s">
        <v>63</v>
      </c>
      <c r="J529" s="15"/>
      <c r="K529" s="13"/>
      <c r="L529" s="3" t="s">
        <v>831</v>
      </c>
    </row>
    <row r="530" spans="1:12" ht="21.95" customHeight="1">
      <c r="A530" s="1">
        <v>528</v>
      </c>
      <c r="B530" s="2" t="str">
        <f>"邓娟"</f>
        <v>邓娟</v>
      </c>
      <c r="C530" s="2" t="str">
        <f t="shared" si="28"/>
        <v>女</v>
      </c>
      <c r="D530" s="2" t="s">
        <v>11</v>
      </c>
      <c r="E530" s="2" t="s">
        <v>12</v>
      </c>
      <c r="F530" s="2" t="str">
        <f t="shared" si="29"/>
        <v>E2024022</v>
      </c>
      <c r="G530" s="2" t="s">
        <v>651</v>
      </c>
      <c r="H530" s="6" t="s">
        <v>44</v>
      </c>
      <c r="I530" s="6" t="s">
        <v>46</v>
      </c>
      <c r="J530" s="15"/>
      <c r="K530" s="13"/>
      <c r="L530" s="3" t="s">
        <v>831</v>
      </c>
    </row>
    <row r="531" spans="1:12" ht="21.95" customHeight="1">
      <c r="A531" s="1">
        <v>529</v>
      </c>
      <c r="B531" s="2" t="str">
        <f>"高柳"</f>
        <v>高柳</v>
      </c>
      <c r="C531" s="2" t="str">
        <f t="shared" si="28"/>
        <v>女</v>
      </c>
      <c r="D531" s="2" t="s">
        <v>11</v>
      </c>
      <c r="E531" s="2" t="s">
        <v>12</v>
      </c>
      <c r="F531" s="2" t="str">
        <f t="shared" si="29"/>
        <v>E2024022</v>
      </c>
      <c r="G531" s="2" t="s">
        <v>652</v>
      </c>
      <c r="H531" s="6" t="s">
        <v>44</v>
      </c>
      <c r="I531" s="6" t="s">
        <v>64</v>
      </c>
      <c r="J531" s="15"/>
      <c r="K531" s="13"/>
      <c r="L531" s="3" t="s">
        <v>831</v>
      </c>
    </row>
    <row r="532" spans="1:12" ht="21.95" customHeight="1">
      <c r="A532" s="1">
        <v>530</v>
      </c>
      <c r="B532" s="2" t="str">
        <f>"朱晴"</f>
        <v>朱晴</v>
      </c>
      <c r="C532" s="2" t="str">
        <f t="shared" si="28"/>
        <v>女</v>
      </c>
      <c r="D532" s="2" t="s">
        <v>11</v>
      </c>
      <c r="E532" s="2" t="s">
        <v>12</v>
      </c>
      <c r="F532" s="2" t="str">
        <f t="shared" si="29"/>
        <v>E2024022</v>
      </c>
      <c r="G532" s="2" t="s">
        <v>653</v>
      </c>
      <c r="H532" s="6" t="s">
        <v>44</v>
      </c>
      <c r="I532" s="6" t="s">
        <v>48</v>
      </c>
      <c r="J532" s="15"/>
      <c r="K532" s="13"/>
      <c r="L532" s="3" t="s">
        <v>831</v>
      </c>
    </row>
    <row r="533" spans="1:12" ht="21.95" customHeight="1">
      <c r="A533" s="1">
        <v>531</v>
      </c>
      <c r="B533" s="2" t="str">
        <f>"王鑫"</f>
        <v>王鑫</v>
      </c>
      <c r="C533" s="2" t="str">
        <f t="shared" si="28"/>
        <v>女</v>
      </c>
      <c r="D533" s="2" t="s">
        <v>11</v>
      </c>
      <c r="E533" s="2" t="s">
        <v>12</v>
      </c>
      <c r="F533" s="2" t="str">
        <f t="shared" si="29"/>
        <v>E2024022</v>
      </c>
      <c r="G533" s="2" t="s">
        <v>654</v>
      </c>
      <c r="H533" s="6" t="s">
        <v>44</v>
      </c>
      <c r="I533" s="6" t="s">
        <v>65</v>
      </c>
      <c r="J533" s="15"/>
      <c r="K533" s="13"/>
      <c r="L533" s="3" t="s">
        <v>831</v>
      </c>
    </row>
    <row r="534" spans="1:12" ht="21.95" customHeight="1">
      <c r="A534" s="1">
        <v>532</v>
      </c>
      <c r="B534" s="2" t="str">
        <f>"杨怡飞"</f>
        <v>杨怡飞</v>
      </c>
      <c r="C534" s="2" t="str">
        <f t="shared" si="28"/>
        <v>女</v>
      </c>
      <c r="D534" s="2" t="s">
        <v>11</v>
      </c>
      <c r="E534" s="2" t="s">
        <v>12</v>
      </c>
      <c r="F534" s="2" t="str">
        <f t="shared" si="29"/>
        <v>E2024022</v>
      </c>
      <c r="G534" s="2" t="s">
        <v>656</v>
      </c>
      <c r="H534" s="6" t="s">
        <v>44</v>
      </c>
      <c r="I534" s="6" t="s">
        <v>66</v>
      </c>
      <c r="J534" s="15"/>
      <c r="K534" s="13"/>
      <c r="L534" s="3" t="s">
        <v>831</v>
      </c>
    </row>
    <row r="535" spans="1:12" ht="21.95" customHeight="1">
      <c r="A535" s="1">
        <v>533</v>
      </c>
      <c r="B535" s="2" t="str">
        <f>"李雪"</f>
        <v>李雪</v>
      </c>
      <c r="C535" s="2" t="str">
        <f t="shared" si="28"/>
        <v>女</v>
      </c>
      <c r="D535" s="2" t="s">
        <v>11</v>
      </c>
      <c r="E535" s="2" t="s">
        <v>12</v>
      </c>
      <c r="F535" s="2" t="str">
        <f t="shared" si="29"/>
        <v>E2024022</v>
      </c>
      <c r="G535" s="2" t="s">
        <v>657</v>
      </c>
      <c r="H535" s="6" t="s">
        <v>44</v>
      </c>
      <c r="I535" s="6" t="s">
        <v>52</v>
      </c>
      <c r="J535" s="15"/>
      <c r="K535" s="13"/>
      <c r="L535" s="3" t="s">
        <v>831</v>
      </c>
    </row>
    <row r="536" spans="1:12" ht="21.95" customHeight="1">
      <c r="A536" s="1">
        <v>534</v>
      </c>
      <c r="B536" s="2" t="str">
        <f>"宋秀伟"</f>
        <v>宋秀伟</v>
      </c>
      <c r="C536" s="2" t="str">
        <f t="shared" ref="C536:C541" si="30">"男"</f>
        <v>男</v>
      </c>
      <c r="D536" s="2" t="s">
        <v>11</v>
      </c>
      <c r="E536" s="2" t="s">
        <v>12</v>
      </c>
      <c r="F536" s="2" t="str">
        <f t="shared" si="29"/>
        <v>E2024022</v>
      </c>
      <c r="G536" s="2" t="s">
        <v>658</v>
      </c>
      <c r="H536" s="6" t="s">
        <v>44</v>
      </c>
      <c r="I536" s="6" t="s">
        <v>67</v>
      </c>
      <c r="J536" s="15"/>
      <c r="K536" s="13"/>
      <c r="L536" s="3" t="s">
        <v>831</v>
      </c>
    </row>
    <row r="537" spans="1:12" ht="21.95" customHeight="1">
      <c r="A537" s="1">
        <v>535</v>
      </c>
      <c r="B537" s="2" t="str">
        <f>"刘进"</f>
        <v>刘进</v>
      </c>
      <c r="C537" s="2" t="str">
        <f t="shared" si="30"/>
        <v>男</v>
      </c>
      <c r="D537" s="2" t="s">
        <v>11</v>
      </c>
      <c r="E537" s="2" t="s">
        <v>12</v>
      </c>
      <c r="F537" s="2" t="str">
        <f t="shared" si="29"/>
        <v>E2024022</v>
      </c>
      <c r="G537" s="2" t="s">
        <v>660</v>
      </c>
      <c r="H537" s="6" t="s">
        <v>44</v>
      </c>
      <c r="I537" s="6" t="s">
        <v>72</v>
      </c>
      <c r="J537" s="15"/>
      <c r="K537" s="13"/>
      <c r="L537" s="3" t="s">
        <v>831</v>
      </c>
    </row>
    <row r="538" spans="1:12" ht="21.95" customHeight="1">
      <c r="A538" s="1">
        <v>536</v>
      </c>
      <c r="B538" s="2" t="str">
        <f>"蒋涛"</f>
        <v>蒋涛</v>
      </c>
      <c r="C538" s="2" t="str">
        <f t="shared" si="30"/>
        <v>男</v>
      </c>
      <c r="D538" s="2" t="s">
        <v>13</v>
      </c>
      <c r="E538" s="2" t="s">
        <v>5</v>
      </c>
      <c r="F538" s="2" t="str">
        <f t="shared" ref="F538:F564" si="31">"E2024023"</f>
        <v>E2024023</v>
      </c>
      <c r="G538" s="2" t="s">
        <v>127</v>
      </c>
      <c r="H538" s="6" t="s">
        <v>54</v>
      </c>
      <c r="I538" s="6" t="s">
        <v>26</v>
      </c>
      <c r="J538" s="15">
        <v>87.19</v>
      </c>
      <c r="K538" s="13">
        <v>1</v>
      </c>
      <c r="L538" s="1"/>
    </row>
    <row r="539" spans="1:12" ht="21.95" customHeight="1">
      <c r="A539" s="1">
        <v>537</v>
      </c>
      <c r="B539" s="2" t="str">
        <f>"曹鹏飞"</f>
        <v>曹鹏飞</v>
      </c>
      <c r="C539" s="2" t="str">
        <f t="shared" si="30"/>
        <v>男</v>
      </c>
      <c r="D539" s="2" t="s">
        <v>13</v>
      </c>
      <c r="E539" s="2" t="s">
        <v>5</v>
      </c>
      <c r="F539" s="2" t="str">
        <f t="shared" si="31"/>
        <v>E2024023</v>
      </c>
      <c r="G539" s="2" t="s">
        <v>144</v>
      </c>
      <c r="H539" s="6" t="s">
        <v>68</v>
      </c>
      <c r="I539" s="6" t="s">
        <v>43</v>
      </c>
      <c r="J539" s="15">
        <v>82.38</v>
      </c>
      <c r="K539" s="13">
        <v>2</v>
      </c>
      <c r="L539" s="1"/>
    </row>
    <row r="540" spans="1:12" ht="21.95" customHeight="1">
      <c r="A540" s="1">
        <v>538</v>
      </c>
      <c r="B540" s="2" t="str">
        <f>"郭磊"</f>
        <v>郭磊</v>
      </c>
      <c r="C540" s="2" t="str">
        <f t="shared" si="30"/>
        <v>男</v>
      </c>
      <c r="D540" s="2" t="s">
        <v>13</v>
      </c>
      <c r="E540" s="2" t="s">
        <v>5</v>
      </c>
      <c r="F540" s="2" t="str">
        <f t="shared" si="31"/>
        <v>E2024023</v>
      </c>
      <c r="G540" s="2" t="s">
        <v>146</v>
      </c>
      <c r="H540" s="6" t="s">
        <v>68</v>
      </c>
      <c r="I540" s="6" t="s">
        <v>45</v>
      </c>
      <c r="J540" s="15">
        <v>79.34</v>
      </c>
      <c r="K540" s="13">
        <v>3</v>
      </c>
      <c r="L540" s="1"/>
    </row>
    <row r="541" spans="1:12" ht="21.95" customHeight="1">
      <c r="A541" s="1">
        <v>539</v>
      </c>
      <c r="B541" s="2" t="str">
        <f>"黄耀"</f>
        <v>黄耀</v>
      </c>
      <c r="C541" s="2" t="str">
        <f t="shared" si="30"/>
        <v>男</v>
      </c>
      <c r="D541" s="2" t="s">
        <v>13</v>
      </c>
      <c r="E541" s="2" t="s">
        <v>5</v>
      </c>
      <c r="F541" s="2" t="str">
        <f t="shared" si="31"/>
        <v>E2024023</v>
      </c>
      <c r="G541" s="2" t="s">
        <v>143</v>
      </c>
      <c r="H541" s="6" t="s">
        <v>68</v>
      </c>
      <c r="I541" s="6" t="s">
        <v>42</v>
      </c>
      <c r="J541" s="15">
        <v>78.680000000000007</v>
      </c>
      <c r="K541" s="13">
        <v>4</v>
      </c>
      <c r="L541" s="1"/>
    </row>
    <row r="542" spans="1:12" ht="21.95" customHeight="1">
      <c r="A542" s="1">
        <v>540</v>
      </c>
      <c r="B542" s="2" t="str">
        <f>"徐聪"</f>
        <v>徐聪</v>
      </c>
      <c r="C542" s="2" t="str">
        <f>"女"</f>
        <v>女</v>
      </c>
      <c r="D542" s="2" t="s">
        <v>13</v>
      </c>
      <c r="E542" s="2" t="s">
        <v>5</v>
      </c>
      <c r="F542" s="2" t="str">
        <f t="shared" si="31"/>
        <v>E2024023</v>
      </c>
      <c r="G542" s="2" t="s">
        <v>148</v>
      </c>
      <c r="H542" s="6" t="s">
        <v>68</v>
      </c>
      <c r="I542" s="6" t="s">
        <v>47</v>
      </c>
      <c r="J542" s="15">
        <v>74.34</v>
      </c>
      <c r="K542" s="13">
        <v>5</v>
      </c>
      <c r="L542" s="1"/>
    </row>
    <row r="543" spans="1:12" ht="21.95" customHeight="1">
      <c r="A543" s="1">
        <v>541</v>
      </c>
      <c r="B543" s="2" t="str">
        <f>"李伟"</f>
        <v>李伟</v>
      </c>
      <c r="C543" s="2" t="str">
        <f>"男"</f>
        <v>男</v>
      </c>
      <c r="D543" s="2" t="s">
        <v>13</v>
      </c>
      <c r="E543" s="2" t="s">
        <v>5</v>
      </c>
      <c r="F543" s="2" t="str">
        <f t="shared" si="31"/>
        <v>E2024023</v>
      </c>
      <c r="G543" s="2" t="s">
        <v>137</v>
      </c>
      <c r="H543" s="6" t="s">
        <v>68</v>
      </c>
      <c r="I543" s="6" t="s">
        <v>36</v>
      </c>
      <c r="J543" s="15">
        <v>73.84</v>
      </c>
      <c r="K543" s="13">
        <v>6</v>
      </c>
      <c r="L543" s="1"/>
    </row>
    <row r="544" spans="1:12" ht="21.95" customHeight="1">
      <c r="A544" s="1">
        <v>542</v>
      </c>
      <c r="B544" s="2" t="str">
        <f>"陈晓艳"</f>
        <v>陈晓艳</v>
      </c>
      <c r="C544" s="2" t="str">
        <f>"女"</f>
        <v>女</v>
      </c>
      <c r="D544" s="2" t="s">
        <v>13</v>
      </c>
      <c r="E544" s="2" t="s">
        <v>5</v>
      </c>
      <c r="F544" s="2" t="str">
        <f t="shared" si="31"/>
        <v>E2024023</v>
      </c>
      <c r="G544" s="2" t="s">
        <v>138</v>
      </c>
      <c r="H544" s="6" t="s">
        <v>68</v>
      </c>
      <c r="I544" s="6" t="s">
        <v>37</v>
      </c>
      <c r="J544" s="15">
        <v>71.55</v>
      </c>
      <c r="K544" s="13">
        <v>7</v>
      </c>
      <c r="L544" s="1"/>
    </row>
    <row r="545" spans="1:12" ht="21.95" customHeight="1">
      <c r="A545" s="1">
        <v>543</v>
      </c>
      <c r="B545" s="2" t="str">
        <f>"钟语雪"</f>
        <v>钟语雪</v>
      </c>
      <c r="C545" s="2" t="str">
        <f>"男"</f>
        <v>男</v>
      </c>
      <c r="D545" s="2" t="s">
        <v>13</v>
      </c>
      <c r="E545" s="2" t="s">
        <v>5</v>
      </c>
      <c r="F545" s="2" t="str">
        <f t="shared" si="31"/>
        <v>E2024023</v>
      </c>
      <c r="G545" s="2" t="s">
        <v>141</v>
      </c>
      <c r="H545" s="6" t="s">
        <v>68</v>
      </c>
      <c r="I545" s="6" t="s">
        <v>40</v>
      </c>
      <c r="J545" s="15">
        <v>66.72</v>
      </c>
      <c r="K545" s="13">
        <v>8</v>
      </c>
      <c r="L545" s="1"/>
    </row>
    <row r="546" spans="1:12" ht="21.95" customHeight="1">
      <c r="A546" s="1">
        <v>544</v>
      </c>
      <c r="B546" s="2" t="str">
        <f>"王孝汇"</f>
        <v>王孝汇</v>
      </c>
      <c r="C546" s="2" t="str">
        <f>"女"</f>
        <v>女</v>
      </c>
      <c r="D546" s="2" t="s">
        <v>13</v>
      </c>
      <c r="E546" s="2" t="s">
        <v>5</v>
      </c>
      <c r="F546" s="2" t="str">
        <f t="shared" si="31"/>
        <v>E2024023</v>
      </c>
      <c r="G546" s="2" t="s">
        <v>142</v>
      </c>
      <c r="H546" s="6" t="s">
        <v>68</v>
      </c>
      <c r="I546" s="6" t="s">
        <v>41</v>
      </c>
      <c r="J546" s="15">
        <v>66.180000000000007</v>
      </c>
      <c r="K546" s="13">
        <v>9</v>
      </c>
      <c r="L546" s="1"/>
    </row>
    <row r="547" spans="1:12" ht="21.95" customHeight="1">
      <c r="A547" s="1">
        <v>545</v>
      </c>
      <c r="B547" s="2" t="str">
        <f>"唐香"</f>
        <v>唐香</v>
      </c>
      <c r="C547" s="2" t="str">
        <f>"女"</f>
        <v>女</v>
      </c>
      <c r="D547" s="2" t="s">
        <v>13</v>
      </c>
      <c r="E547" s="2" t="s">
        <v>5</v>
      </c>
      <c r="F547" s="2" t="str">
        <f t="shared" si="31"/>
        <v>E2024023</v>
      </c>
      <c r="G547" s="2" t="s">
        <v>128</v>
      </c>
      <c r="H547" s="6" t="s">
        <v>54</v>
      </c>
      <c r="I547" s="6" t="s">
        <v>27</v>
      </c>
      <c r="J547" s="15"/>
      <c r="K547" s="13"/>
      <c r="L547" s="3" t="s">
        <v>831</v>
      </c>
    </row>
    <row r="548" spans="1:12" ht="21.95" customHeight="1">
      <c r="A548" s="1">
        <v>546</v>
      </c>
      <c r="B548" s="2" t="str">
        <f>"黄宵"</f>
        <v>黄宵</v>
      </c>
      <c r="C548" s="2" t="str">
        <f>"女"</f>
        <v>女</v>
      </c>
      <c r="D548" s="2" t="s">
        <v>13</v>
      </c>
      <c r="E548" s="2" t="s">
        <v>5</v>
      </c>
      <c r="F548" s="2" t="str">
        <f t="shared" si="31"/>
        <v>E2024023</v>
      </c>
      <c r="G548" s="2" t="s">
        <v>129</v>
      </c>
      <c r="H548" s="6" t="s">
        <v>68</v>
      </c>
      <c r="I548" s="6" t="s">
        <v>28</v>
      </c>
      <c r="J548" s="15"/>
      <c r="K548" s="13"/>
      <c r="L548" s="3" t="s">
        <v>831</v>
      </c>
    </row>
    <row r="549" spans="1:12" ht="21.95" customHeight="1">
      <c r="A549" s="1">
        <v>547</v>
      </c>
      <c r="B549" s="2" t="str">
        <f>"刘海艳"</f>
        <v>刘海艳</v>
      </c>
      <c r="C549" s="2" t="str">
        <f>"女"</f>
        <v>女</v>
      </c>
      <c r="D549" s="2" t="s">
        <v>13</v>
      </c>
      <c r="E549" s="2" t="s">
        <v>5</v>
      </c>
      <c r="F549" s="2" t="str">
        <f t="shared" si="31"/>
        <v>E2024023</v>
      </c>
      <c r="G549" s="2" t="s">
        <v>130</v>
      </c>
      <c r="H549" s="6" t="s">
        <v>68</v>
      </c>
      <c r="I549" s="6" t="s">
        <v>29</v>
      </c>
      <c r="J549" s="15"/>
      <c r="K549" s="13"/>
      <c r="L549" s="3" t="s">
        <v>831</v>
      </c>
    </row>
    <row r="550" spans="1:12" ht="21.95" customHeight="1">
      <c r="A550" s="1">
        <v>548</v>
      </c>
      <c r="B550" s="2" t="str">
        <f>"赵迪"</f>
        <v>赵迪</v>
      </c>
      <c r="C550" s="2" t="str">
        <f>"男"</f>
        <v>男</v>
      </c>
      <c r="D550" s="2" t="s">
        <v>13</v>
      </c>
      <c r="E550" s="2" t="s">
        <v>5</v>
      </c>
      <c r="F550" s="2" t="str">
        <f t="shared" si="31"/>
        <v>E2024023</v>
      </c>
      <c r="G550" s="2" t="s">
        <v>131</v>
      </c>
      <c r="H550" s="6" t="s">
        <v>68</v>
      </c>
      <c r="I550" s="6" t="s">
        <v>30</v>
      </c>
      <c r="J550" s="15"/>
      <c r="K550" s="13"/>
      <c r="L550" s="3" t="s">
        <v>831</v>
      </c>
    </row>
    <row r="551" spans="1:12" ht="21.95" customHeight="1">
      <c r="A551" s="1">
        <v>549</v>
      </c>
      <c r="B551" s="2" t="str">
        <f>"涂稳"</f>
        <v>涂稳</v>
      </c>
      <c r="C551" s="2" t="str">
        <f>"男"</f>
        <v>男</v>
      </c>
      <c r="D551" s="2" t="s">
        <v>13</v>
      </c>
      <c r="E551" s="2" t="s">
        <v>5</v>
      </c>
      <c r="F551" s="2" t="str">
        <f t="shared" si="31"/>
        <v>E2024023</v>
      </c>
      <c r="G551" s="2" t="s">
        <v>132</v>
      </c>
      <c r="H551" s="6" t="s">
        <v>68</v>
      </c>
      <c r="I551" s="6" t="s">
        <v>31</v>
      </c>
      <c r="J551" s="15"/>
      <c r="K551" s="13"/>
      <c r="L551" s="3" t="s">
        <v>831</v>
      </c>
    </row>
    <row r="552" spans="1:12" ht="21.95" customHeight="1">
      <c r="A552" s="1">
        <v>550</v>
      </c>
      <c r="B552" s="2" t="str">
        <f>"吴有为"</f>
        <v>吴有为</v>
      </c>
      <c r="C552" s="2" t="str">
        <f>"男"</f>
        <v>男</v>
      </c>
      <c r="D552" s="2" t="s">
        <v>13</v>
      </c>
      <c r="E552" s="2" t="s">
        <v>5</v>
      </c>
      <c r="F552" s="2" t="str">
        <f t="shared" si="31"/>
        <v>E2024023</v>
      </c>
      <c r="G552" s="2" t="s">
        <v>133</v>
      </c>
      <c r="H552" s="6" t="s">
        <v>68</v>
      </c>
      <c r="I552" s="6" t="s">
        <v>32</v>
      </c>
      <c r="J552" s="15"/>
      <c r="K552" s="13"/>
      <c r="L552" s="3" t="s">
        <v>831</v>
      </c>
    </row>
    <row r="553" spans="1:12" ht="21.95" customHeight="1">
      <c r="A553" s="1">
        <v>551</v>
      </c>
      <c r="B553" s="2" t="str">
        <f>"陈媛"</f>
        <v>陈媛</v>
      </c>
      <c r="C553" s="2" t="str">
        <f>"女"</f>
        <v>女</v>
      </c>
      <c r="D553" s="2" t="s">
        <v>13</v>
      </c>
      <c r="E553" s="2" t="s">
        <v>5</v>
      </c>
      <c r="F553" s="2" t="str">
        <f t="shared" si="31"/>
        <v>E2024023</v>
      </c>
      <c r="G553" s="2" t="s">
        <v>134</v>
      </c>
      <c r="H553" s="6" t="s">
        <v>68</v>
      </c>
      <c r="I553" s="6" t="s">
        <v>33</v>
      </c>
      <c r="J553" s="15"/>
      <c r="K553" s="13"/>
      <c r="L553" s="3" t="s">
        <v>831</v>
      </c>
    </row>
    <row r="554" spans="1:12" ht="21.95" customHeight="1">
      <c r="A554" s="1">
        <v>552</v>
      </c>
      <c r="B554" s="2" t="str">
        <f>"祝佳倩"</f>
        <v>祝佳倩</v>
      </c>
      <c r="C554" s="2" t="str">
        <f>"女"</f>
        <v>女</v>
      </c>
      <c r="D554" s="2" t="s">
        <v>13</v>
      </c>
      <c r="E554" s="2" t="s">
        <v>5</v>
      </c>
      <c r="F554" s="2" t="str">
        <f t="shared" si="31"/>
        <v>E2024023</v>
      </c>
      <c r="G554" s="2" t="s">
        <v>135</v>
      </c>
      <c r="H554" s="6" t="s">
        <v>68</v>
      </c>
      <c r="I554" s="6" t="s">
        <v>34</v>
      </c>
      <c r="J554" s="15"/>
      <c r="K554" s="13"/>
      <c r="L554" s="3" t="s">
        <v>831</v>
      </c>
    </row>
    <row r="555" spans="1:12" ht="21.95" customHeight="1">
      <c r="A555" s="1">
        <v>553</v>
      </c>
      <c r="B555" s="2" t="str">
        <f>"朱锐"</f>
        <v>朱锐</v>
      </c>
      <c r="C555" s="2" t="str">
        <f>"男"</f>
        <v>男</v>
      </c>
      <c r="D555" s="2" t="s">
        <v>13</v>
      </c>
      <c r="E555" s="2" t="s">
        <v>5</v>
      </c>
      <c r="F555" s="2" t="str">
        <f t="shared" si="31"/>
        <v>E2024023</v>
      </c>
      <c r="G555" s="2" t="s">
        <v>136</v>
      </c>
      <c r="H555" s="6" t="s">
        <v>68</v>
      </c>
      <c r="I555" s="6" t="s">
        <v>35</v>
      </c>
      <c r="J555" s="15"/>
      <c r="K555" s="13"/>
      <c r="L555" s="3" t="s">
        <v>831</v>
      </c>
    </row>
    <row r="556" spans="1:12" ht="21.95" customHeight="1">
      <c r="A556" s="1">
        <v>554</v>
      </c>
      <c r="B556" s="2" t="str">
        <f>"黄玉"</f>
        <v>黄玉</v>
      </c>
      <c r="C556" s="2" t="str">
        <f>"女"</f>
        <v>女</v>
      </c>
      <c r="D556" s="2" t="s">
        <v>13</v>
      </c>
      <c r="E556" s="2" t="s">
        <v>5</v>
      </c>
      <c r="F556" s="2" t="str">
        <f t="shared" si="31"/>
        <v>E2024023</v>
      </c>
      <c r="G556" s="2" t="s">
        <v>139</v>
      </c>
      <c r="H556" s="6" t="s">
        <v>68</v>
      </c>
      <c r="I556" s="6" t="s">
        <v>38</v>
      </c>
      <c r="J556" s="15"/>
      <c r="K556" s="13"/>
      <c r="L556" s="3" t="s">
        <v>831</v>
      </c>
    </row>
    <row r="557" spans="1:12" ht="21.95" customHeight="1">
      <c r="A557" s="1">
        <v>555</v>
      </c>
      <c r="B557" s="2" t="str">
        <f>"张继梅"</f>
        <v>张继梅</v>
      </c>
      <c r="C557" s="2" t="str">
        <f>"女"</f>
        <v>女</v>
      </c>
      <c r="D557" s="2" t="s">
        <v>13</v>
      </c>
      <c r="E557" s="2" t="s">
        <v>5</v>
      </c>
      <c r="F557" s="2" t="str">
        <f t="shared" si="31"/>
        <v>E2024023</v>
      </c>
      <c r="G557" s="2" t="s">
        <v>140</v>
      </c>
      <c r="H557" s="6" t="s">
        <v>68</v>
      </c>
      <c r="I557" s="6" t="s">
        <v>39</v>
      </c>
      <c r="J557" s="15"/>
      <c r="K557" s="13"/>
      <c r="L557" s="3" t="s">
        <v>831</v>
      </c>
    </row>
    <row r="558" spans="1:12" ht="21.95" customHeight="1">
      <c r="A558" s="1">
        <v>556</v>
      </c>
      <c r="B558" s="2" t="str">
        <f>"王雪"</f>
        <v>王雪</v>
      </c>
      <c r="C558" s="2" t="str">
        <f>"女"</f>
        <v>女</v>
      </c>
      <c r="D558" s="2" t="s">
        <v>13</v>
      </c>
      <c r="E558" s="2" t="s">
        <v>5</v>
      </c>
      <c r="F558" s="2" t="str">
        <f t="shared" si="31"/>
        <v>E2024023</v>
      </c>
      <c r="G558" s="2" t="s">
        <v>145</v>
      </c>
      <c r="H558" s="6" t="s">
        <v>68</v>
      </c>
      <c r="I558" s="6" t="s">
        <v>44</v>
      </c>
      <c r="J558" s="15"/>
      <c r="K558" s="13"/>
      <c r="L558" s="3" t="s">
        <v>831</v>
      </c>
    </row>
    <row r="559" spans="1:12" ht="21.95" customHeight="1">
      <c r="A559" s="1">
        <v>557</v>
      </c>
      <c r="B559" s="2" t="str">
        <f>"吴玲玲"</f>
        <v>吴玲玲</v>
      </c>
      <c r="C559" s="2" t="str">
        <f>"女"</f>
        <v>女</v>
      </c>
      <c r="D559" s="2" t="s">
        <v>13</v>
      </c>
      <c r="E559" s="2" t="s">
        <v>5</v>
      </c>
      <c r="F559" s="2" t="str">
        <f t="shared" si="31"/>
        <v>E2024023</v>
      </c>
      <c r="G559" s="2" t="s">
        <v>147</v>
      </c>
      <c r="H559" s="6" t="s">
        <v>68</v>
      </c>
      <c r="I559" s="6" t="s">
        <v>46</v>
      </c>
      <c r="J559" s="15"/>
      <c r="K559" s="13"/>
      <c r="L559" s="3" t="s">
        <v>831</v>
      </c>
    </row>
    <row r="560" spans="1:12" ht="21.95" customHeight="1">
      <c r="A560" s="1">
        <v>558</v>
      </c>
      <c r="B560" s="2" t="str">
        <f>"熊永军"</f>
        <v>熊永军</v>
      </c>
      <c r="C560" s="2" t="str">
        <f>"男"</f>
        <v>男</v>
      </c>
      <c r="D560" s="2" t="s">
        <v>13</v>
      </c>
      <c r="E560" s="2" t="s">
        <v>5</v>
      </c>
      <c r="F560" s="2" t="str">
        <f t="shared" si="31"/>
        <v>E2024023</v>
      </c>
      <c r="G560" s="2" t="s">
        <v>149</v>
      </c>
      <c r="H560" s="6" t="s">
        <v>68</v>
      </c>
      <c r="I560" s="6" t="s">
        <v>48</v>
      </c>
      <c r="J560" s="15"/>
      <c r="K560" s="13"/>
      <c r="L560" s="3" t="s">
        <v>831</v>
      </c>
    </row>
    <row r="561" spans="1:12" ht="21.95" customHeight="1">
      <c r="A561" s="1">
        <v>559</v>
      </c>
      <c r="B561" s="2" t="str">
        <f>"邹彩乔"</f>
        <v>邹彩乔</v>
      </c>
      <c r="C561" s="2" t="str">
        <f>"女"</f>
        <v>女</v>
      </c>
      <c r="D561" s="2" t="s">
        <v>13</v>
      </c>
      <c r="E561" s="2" t="s">
        <v>5</v>
      </c>
      <c r="F561" s="2" t="str">
        <f t="shared" si="31"/>
        <v>E2024023</v>
      </c>
      <c r="G561" s="2" t="s">
        <v>150</v>
      </c>
      <c r="H561" s="6" t="s">
        <v>68</v>
      </c>
      <c r="I561" s="6" t="s">
        <v>49</v>
      </c>
      <c r="J561" s="15"/>
      <c r="K561" s="13"/>
      <c r="L561" s="3" t="s">
        <v>831</v>
      </c>
    </row>
    <row r="562" spans="1:12" ht="21.95" customHeight="1">
      <c r="A562" s="1">
        <v>560</v>
      </c>
      <c r="B562" s="2" t="str">
        <f>"闫祖坤"</f>
        <v>闫祖坤</v>
      </c>
      <c r="C562" s="2" t="str">
        <f>"男"</f>
        <v>男</v>
      </c>
      <c r="D562" s="2" t="s">
        <v>13</v>
      </c>
      <c r="E562" s="2" t="s">
        <v>5</v>
      </c>
      <c r="F562" s="2" t="str">
        <f t="shared" si="31"/>
        <v>E2024023</v>
      </c>
      <c r="G562" s="2" t="s">
        <v>151</v>
      </c>
      <c r="H562" s="6" t="s">
        <v>68</v>
      </c>
      <c r="I562" s="6" t="s">
        <v>50</v>
      </c>
      <c r="J562" s="15"/>
      <c r="K562" s="13"/>
      <c r="L562" s="3" t="s">
        <v>831</v>
      </c>
    </row>
    <row r="563" spans="1:12" ht="21.95" customHeight="1">
      <c r="A563" s="1">
        <v>561</v>
      </c>
      <c r="B563" s="2" t="str">
        <f>"陈顺"</f>
        <v>陈顺</v>
      </c>
      <c r="C563" s="2" t="str">
        <f>"男"</f>
        <v>男</v>
      </c>
      <c r="D563" s="2" t="s">
        <v>13</v>
      </c>
      <c r="E563" s="2" t="s">
        <v>5</v>
      </c>
      <c r="F563" s="2" t="str">
        <f t="shared" si="31"/>
        <v>E2024023</v>
      </c>
      <c r="G563" s="2" t="s">
        <v>152</v>
      </c>
      <c r="H563" s="6" t="s">
        <v>68</v>
      </c>
      <c r="I563" s="6" t="s">
        <v>51</v>
      </c>
      <c r="J563" s="15"/>
      <c r="K563" s="13"/>
      <c r="L563" s="3" t="s">
        <v>831</v>
      </c>
    </row>
    <row r="564" spans="1:12" ht="21.95" customHeight="1">
      <c r="A564" s="1">
        <v>562</v>
      </c>
      <c r="B564" s="2" t="str">
        <f>"李田"</f>
        <v>李田</v>
      </c>
      <c r="C564" s="2" t="str">
        <f>"男"</f>
        <v>男</v>
      </c>
      <c r="D564" s="2" t="s">
        <v>13</v>
      </c>
      <c r="E564" s="2" t="s">
        <v>5</v>
      </c>
      <c r="F564" s="2" t="str">
        <f t="shared" si="31"/>
        <v>E2024023</v>
      </c>
      <c r="G564" s="2" t="s">
        <v>153</v>
      </c>
      <c r="H564" s="6" t="s">
        <v>68</v>
      </c>
      <c r="I564" s="6" t="s">
        <v>52</v>
      </c>
      <c r="J564" s="15"/>
      <c r="K564" s="13"/>
      <c r="L564" s="3" t="s">
        <v>831</v>
      </c>
    </row>
    <row r="565" spans="1:12" ht="21.95" customHeight="1">
      <c r="A565" s="1">
        <v>563</v>
      </c>
      <c r="B565" s="2" t="str">
        <f>"候宗莲"</f>
        <v>候宗莲</v>
      </c>
      <c r="C565" s="2" t="str">
        <f>"女"</f>
        <v>女</v>
      </c>
      <c r="D565" s="2" t="s">
        <v>15</v>
      </c>
      <c r="E565" s="2" t="s">
        <v>14</v>
      </c>
      <c r="F565" s="2" t="str">
        <f t="shared" ref="F565:F596" si="32">"E2024024"</f>
        <v>E2024024</v>
      </c>
      <c r="G565" s="2" t="s">
        <v>677</v>
      </c>
      <c r="H565" s="6" t="s">
        <v>63</v>
      </c>
      <c r="I565" s="6" t="s">
        <v>42</v>
      </c>
      <c r="J565" s="15">
        <v>84.62</v>
      </c>
      <c r="K565" s="13">
        <v>1</v>
      </c>
      <c r="L565" s="1"/>
    </row>
    <row r="566" spans="1:12" ht="21.95" customHeight="1">
      <c r="A566" s="1">
        <v>564</v>
      </c>
      <c r="B566" s="2" t="str">
        <f>"黄丽娟"</f>
        <v>黄丽娟</v>
      </c>
      <c r="C566" s="2" t="str">
        <f>"女"</f>
        <v>女</v>
      </c>
      <c r="D566" s="2" t="s">
        <v>15</v>
      </c>
      <c r="E566" s="2" t="s">
        <v>14</v>
      </c>
      <c r="F566" s="2" t="str">
        <f t="shared" si="32"/>
        <v>E2024024</v>
      </c>
      <c r="G566" s="2" t="s">
        <v>745</v>
      </c>
      <c r="H566" s="6" t="s">
        <v>64</v>
      </c>
      <c r="I566" s="6" t="s">
        <v>50</v>
      </c>
      <c r="J566" s="15">
        <v>84.55</v>
      </c>
      <c r="K566" s="13">
        <v>2</v>
      </c>
      <c r="L566" s="1"/>
    </row>
    <row r="567" spans="1:12" ht="21.95" customHeight="1">
      <c r="A567" s="1">
        <v>565</v>
      </c>
      <c r="B567" s="2" t="str">
        <f>"王美龄"</f>
        <v>王美龄</v>
      </c>
      <c r="C567" s="2" t="str">
        <f>"女"</f>
        <v>女</v>
      </c>
      <c r="D567" s="2" t="s">
        <v>15</v>
      </c>
      <c r="E567" s="2" t="s">
        <v>14</v>
      </c>
      <c r="F567" s="2" t="str">
        <f t="shared" si="32"/>
        <v>E2024024</v>
      </c>
      <c r="G567" s="2" t="s">
        <v>755</v>
      </c>
      <c r="H567" s="6" t="s">
        <v>48</v>
      </c>
      <c r="I567" s="6" t="s">
        <v>30</v>
      </c>
      <c r="J567" s="15">
        <v>84.55</v>
      </c>
      <c r="K567" s="13">
        <v>2</v>
      </c>
      <c r="L567" s="1"/>
    </row>
    <row r="568" spans="1:12" ht="21.95" customHeight="1">
      <c r="A568" s="1">
        <v>566</v>
      </c>
      <c r="B568" s="2" t="str">
        <f>"刘天坤"</f>
        <v>刘天坤</v>
      </c>
      <c r="C568" s="2" t="str">
        <f>"男"</f>
        <v>男</v>
      </c>
      <c r="D568" s="2" t="s">
        <v>15</v>
      </c>
      <c r="E568" s="2" t="s">
        <v>14</v>
      </c>
      <c r="F568" s="2" t="str">
        <f t="shared" si="32"/>
        <v>E2024024</v>
      </c>
      <c r="G568" s="2" t="s">
        <v>696</v>
      </c>
      <c r="H568" s="6" t="s">
        <v>46</v>
      </c>
      <c r="I568" s="6" t="s">
        <v>56</v>
      </c>
      <c r="J568" s="15">
        <v>83.17</v>
      </c>
      <c r="K568" s="13">
        <v>4</v>
      </c>
      <c r="L568" s="1"/>
    </row>
    <row r="569" spans="1:12" ht="21.95" customHeight="1">
      <c r="A569" s="1">
        <v>567</v>
      </c>
      <c r="B569" s="2" t="str">
        <f>"史春秋"</f>
        <v>史春秋</v>
      </c>
      <c r="C569" s="2" t="str">
        <f t="shared" ref="C569:C575" si="33">"女"</f>
        <v>女</v>
      </c>
      <c r="D569" s="2" t="s">
        <v>15</v>
      </c>
      <c r="E569" s="2" t="s">
        <v>14</v>
      </c>
      <c r="F569" s="2" t="str">
        <f t="shared" si="32"/>
        <v>E2024024</v>
      </c>
      <c r="G569" s="2" t="s">
        <v>661</v>
      </c>
      <c r="H569" s="6" t="s">
        <v>94</v>
      </c>
      <c r="I569" s="6" t="s">
        <v>26</v>
      </c>
      <c r="J569" s="15">
        <v>82.58</v>
      </c>
      <c r="K569" s="13">
        <v>5</v>
      </c>
      <c r="L569" s="1"/>
    </row>
    <row r="570" spans="1:12" ht="21.95" customHeight="1">
      <c r="A570" s="1">
        <v>568</v>
      </c>
      <c r="B570" s="2" t="str">
        <f>"谭琪"</f>
        <v>谭琪</v>
      </c>
      <c r="C570" s="2" t="str">
        <f t="shared" si="33"/>
        <v>女</v>
      </c>
      <c r="D570" s="2" t="s">
        <v>15</v>
      </c>
      <c r="E570" s="2" t="s">
        <v>14</v>
      </c>
      <c r="F570" s="2" t="str">
        <f t="shared" si="32"/>
        <v>E2024024</v>
      </c>
      <c r="G570" s="2" t="s">
        <v>702</v>
      </c>
      <c r="H570" s="6" t="s">
        <v>46</v>
      </c>
      <c r="I570" s="6" t="s">
        <v>59</v>
      </c>
      <c r="J570" s="15">
        <v>82.42</v>
      </c>
      <c r="K570" s="13">
        <v>6</v>
      </c>
      <c r="L570" s="1"/>
    </row>
    <row r="571" spans="1:12" ht="21.95" customHeight="1">
      <c r="A571" s="1">
        <v>569</v>
      </c>
      <c r="B571" s="2" t="str">
        <f>"毛艳桂"</f>
        <v>毛艳桂</v>
      </c>
      <c r="C571" s="2" t="str">
        <f t="shared" si="33"/>
        <v>女</v>
      </c>
      <c r="D571" s="2" t="s">
        <v>15</v>
      </c>
      <c r="E571" s="2" t="s">
        <v>14</v>
      </c>
      <c r="F571" s="2" t="str">
        <f t="shared" si="32"/>
        <v>E2024024</v>
      </c>
      <c r="G571" s="2" t="s">
        <v>782</v>
      </c>
      <c r="H571" s="6" t="s">
        <v>98</v>
      </c>
      <c r="I571" s="6" t="s">
        <v>54</v>
      </c>
      <c r="J571" s="15">
        <v>82.29</v>
      </c>
      <c r="K571" s="13">
        <v>7</v>
      </c>
      <c r="L571" s="1"/>
    </row>
    <row r="572" spans="1:12" ht="21.95" customHeight="1">
      <c r="A572" s="1">
        <v>570</v>
      </c>
      <c r="B572" s="2" t="str">
        <f>"李柯慧"</f>
        <v>李柯慧</v>
      </c>
      <c r="C572" s="2" t="str">
        <f t="shared" si="33"/>
        <v>女</v>
      </c>
      <c r="D572" s="2" t="s">
        <v>15</v>
      </c>
      <c r="E572" s="2" t="s">
        <v>14</v>
      </c>
      <c r="F572" s="2" t="str">
        <f t="shared" si="32"/>
        <v>E2024024</v>
      </c>
      <c r="G572" s="2" t="s">
        <v>768</v>
      </c>
      <c r="H572" s="6" t="s">
        <v>48</v>
      </c>
      <c r="I572" s="6" t="s">
        <v>62</v>
      </c>
      <c r="J572" s="15">
        <v>82.15</v>
      </c>
      <c r="K572" s="13">
        <v>8</v>
      </c>
      <c r="L572" s="1"/>
    </row>
    <row r="573" spans="1:12" ht="21.95" customHeight="1">
      <c r="A573" s="1">
        <v>571</v>
      </c>
      <c r="B573" s="2" t="str">
        <f>"陈慧君"</f>
        <v>陈慧君</v>
      </c>
      <c r="C573" s="2" t="str">
        <f t="shared" si="33"/>
        <v>女</v>
      </c>
      <c r="D573" s="2" t="s">
        <v>15</v>
      </c>
      <c r="E573" s="2" t="s">
        <v>14</v>
      </c>
      <c r="F573" s="2" t="str">
        <f t="shared" si="32"/>
        <v>E2024024</v>
      </c>
      <c r="G573" s="2" t="s">
        <v>801</v>
      </c>
      <c r="H573" s="6" t="s">
        <v>65</v>
      </c>
      <c r="I573" s="6" t="s">
        <v>46</v>
      </c>
      <c r="J573" s="15">
        <v>81.97</v>
      </c>
      <c r="K573" s="13">
        <v>9</v>
      </c>
      <c r="L573" s="1"/>
    </row>
    <row r="574" spans="1:12" ht="21.95" customHeight="1">
      <c r="A574" s="1">
        <v>572</v>
      </c>
      <c r="B574" s="2" t="str">
        <f>"刘岚峨"</f>
        <v>刘岚峨</v>
      </c>
      <c r="C574" s="2" t="str">
        <f t="shared" si="33"/>
        <v>女</v>
      </c>
      <c r="D574" s="2" t="s">
        <v>15</v>
      </c>
      <c r="E574" s="2" t="s">
        <v>14</v>
      </c>
      <c r="F574" s="2" t="str">
        <f t="shared" si="32"/>
        <v>E2024024</v>
      </c>
      <c r="G574" s="2" t="s">
        <v>689</v>
      </c>
      <c r="H574" s="6" t="s">
        <v>63</v>
      </c>
      <c r="I574" s="6" t="s">
        <v>71</v>
      </c>
      <c r="J574" s="15">
        <v>81.91</v>
      </c>
      <c r="K574" s="13">
        <v>10</v>
      </c>
      <c r="L574" s="1"/>
    </row>
    <row r="575" spans="1:12" ht="21.95" customHeight="1">
      <c r="A575" s="1">
        <v>573</v>
      </c>
      <c r="B575" s="2" t="str">
        <f>"郑巧云"</f>
        <v>郑巧云</v>
      </c>
      <c r="C575" s="2" t="str">
        <f t="shared" si="33"/>
        <v>女</v>
      </c>
      <c r="D575" s="2" t="s">
        <v>15</v>
      </c>
      <c r="E575" s="2" t="s">
        <v>14</v>
      </c>
      <c r="F575" s="2" t="str">
        <f t="shared" si="32"/>
        <v>E2024024</v>
      </c>
      <c r="G575" s="2" t="s">
        <v>707</v>
      </c>
      <c r="H575" s="6" t="s">
        <v>46</v>
      </c>
      <c r="I575" s="6" t="s">
        <v>42</v>
      </c>
      <c r="J575" s="15">
        <v>81.12</v>
      </c>
      <c r="K575" s="13">
        <v>11</v>
      </c>
      <c r="L575" s="1"/>
    </row>
    <row r="576" spans="1:12" ht="21.95" customHeight="1">
      <c r="A576" s="1">
        <v>574</v>
      </c>
      <c r="B576" s="2" t="str">
        <f>"张翀"</f>
        <v>张翀</v>
      </c>
      <c r="C576" s="2" t="str">
        <f>"男"</f>
        <v>男</v>
      </c>
      <c r="D576" s="2" t="s">
        <v>15</v>
      </c>
      <c r="E576" s="2" t="s">
        <v>14</v>
      </c>
      <c r="F576" s="2" t="str">
        <f t="shared" si="32"/>
        <v>E2024024</v>
      </c>
      <c r="G576" s="2" t="s">
        <v>662</v>
      </c>
      <c r="H576" s="6" t="s">
        <v>94</v>
      </c>
      <c r="I576" s="6" t="s">
        <v>54</v>
      </c>
      <c r="J576" s="15">
        <v>80.650000000000006</v>
      </c>
      <c r="K576" s="13">
        <v>12</v>
      </c>
      <c r="L576" s="1"/>
    </row>
    <row r="577" spans="1:12" ht="21.95" customHeight="1">
      <c r="A577" s="1">
        <v>575</v>
      </c>
      <c r="B577" s="2" t="str">
        <f>"孙昭君"</f>
        <v>孙昭君</v>
      </c>
      <c r="C577" s="2" t="str">
        <f t="shared" ref="C577:C600" si="34">"女"</f>
        <v>女</v>
      </c>
      <c r="D577" s="2" t="s">
        <v>15</v>
      </c>
      <c r="E577" s="2" t="s">
        <v>14</v>
      </c>
      <c r="F577" s="2" t="str">
        <f t="shared" si="32"/>
        <v>E2024024</v>
      </c>
      <c r="G577" s="2" t="s">
        <v>810</v>
      </c>
      <c r="H577" s="6" t="s">
        <v>65</v>
      </c>
      <c r="I577" s="6" t="s">
        <v>72</v>
      </c>
      <c r="J577" s="15">
        <v>80.069999999999993</v>
      </c>
      <c r="K577" s="13">
        <v>13</v>
      </c>
      <c r="L577" s="1"/>
    </row>
    <row r="578" spans="1:12" ht="21.95" customHeight="1">
      <c r="A578" s="1">
        <v>576</v>
      </c>
      <c r="B578" s="2" t="str">
        <f>"邱雪"</f>
        <v>邱雪</v>
      </c>
      <c r="C578" s="2" t="str">
        <f t="shared" si="34"/>
        <v>女</v>
      </c>
      <c r="D578" s="2" t="s">
        <v>15</v>
      </c>
      <c r="E578" s="2" t="s">
        <v>14</v>
      </c>
      <c r="F578" s="2" t="str">
        <f t="shared" si="32"/>
        <v>E2024024</v>
      </c>
      <c r="G578" s="2" t="s">
        <v>763</v>
      </c>
      <c r="H578" s="6" t="s">
        <v>48</v>
      </c>
      <c r="I578" s="6" t="s">
        <v>38</v>
      </c>
      <c r="J578" s="15">
        <v>79.819999999999993</v>
      </c>
      <c r="K578" s="13">
        <v>14</v>
      </c>
      <c r="L578" s="1"/>
    </row>
    <row r="579" spans="1:12" ht="21.95" customHeight="1">
      <c r="A579" s="1">
        <v>577</v>
      </c>
      <c r="B579" s="2" t="str">
        <f>"陶烁"</f>
        <v>陶烁</v>
      </c>
      <c r="C579" s="2" t="str">
        <f t="shared" si="34"/>
        <v>女</v>
      </c>
      <c r="D579" s="2" t="s">
        <v>15</v>
      </c>
      <c r="E579" s="2" t="s">
        <v>14</v>
      </c>
      <c r="F579" s="2" t="str">
        <f t="shared" si="32"/>
        <v>E2024024</v>
      </c>
      <c r="G579" s="2" t="s">
        <v>757</v>
      </c>
      <c r="H579" s="6" t="s">
        <v>48</v>
      </c>
      <c r="I579" s="6" t="s">
        <v>32</v>
      </c>
      <c r="J579" s="15">
        <v>79.62</v>
      </c>
      <c r="K579" s="13">
        <v>15</v>
      </c>
      <c r="L579" s="1"/>
    </row>
    <row r="580" spans="1:12" ht="21.95" customHeight="1">
      <c r="A580" s="1">
        <v>578</v>
      </c>
      <c r="B580" s="2" t="str">
        <f>"董曼"</f>
        <v>董曼</v>
      </c>
      <c r="C580" s="2" t="str">
        <f t="shared" si="34"/>
        <v>女</v>
      </c>
      <c r="D580" s="2" t="s">
        <v>15</v>
      </c>
      <c r="E580" s="2" t="s">
        <v>14</v>
      </c>
      <c r="F580" s="2" t="str">
        <f t="shared" si="32"/>
        <v>E2024024</v>
      </c>
      <c r="G580" s="2" t="s">
        <v>796</v>
      </c>
      <c r="H580" s="6" t="s">
        <v>65</v>
      </c>
      <c r="I580" s="6" t="s">
        <v>61</v>
      </c>
      <c r="J580" s="15">
        <v>79.599999999999994</v>
      </c>
      <c r="K580" s="13">
        <v>16</v>
      </c>
      <c r="L580" s="1"/>
    </row>
    <row r="581" spans="1:12" ht="21.95" customHeight="1">
      <c r="A581" s="1">
        <v>579</v>
      </c>
      <c r="B581" s="2" t="str">
        <f>"刘佩瑶"</f>
        <v>刘佩瑶</v>
      </c>
      <c r="C581" s="2" t="str">
        <f t="shared" si="34"/>
        <v>女</v>
      </c>
      <c r="D581" s="2" t="s">
        <v>15</v>
      </c>
      <c r="E581" s="2" t="s">
        <v>14</v>
      </c>
      <c r="F581" s="2" t="str">
        <f t="shared" si="32"/>
        <v>E2024024</v>
      </c>
      <c r="G581" s="2" t="s">
        <v>730</v>
      </c>
      <c r="H581" s="6" t="s">
        <v>64</v>
      </c>
      <c r="I581" s="6" t="s">
        <v>58</v>
      </c>
      <c r="J581" s="15">
        <v>79.489999999999995</v>
      </c>
      <c r="K581" s="13">
        <v>17</v>
      </c>
      <c r="L581" s="1"/>
    </row>
    <row r="582" spans="1:12" ht="21.95" customHeight="1">
      <c r="A582" s="1">
        <v>580</v>
      </c>
      <c r="B582" s="2" t="str">
        <f>"叶兴谊"</f>
        <v>叶兴谊</v>
      </c>
      <c r="C582" s="2" t="str">
        <f t="shared" si="34"/>
        <v>女</v>
      </c>
      <c r="D582" s="2" t="s">
        <v>15</v>
      </c>
      <c r="E582" s="2" t="s">
        <v>14</v>
      </c>
      <c r="F582" s="2" t="str">
        <f t="shared" si="32"/>
        <v>E2024024</v>
      </c>
      <c r="G582" s="2" t="s">
        <v>676</v>
      </c>
      <c r="H582" s="6" t="s">
        <v>63</v>
      </c>
      <c r="I582" s="6" t="s">
        <v>61</v>
      </c>
      <c r="J582" s="15">
        <v>79.010000000000005</v>
      </c>
      <c r="K582" s="13">
        <v>18</v>
      </c>
      <c r="L582" s="1"/>
    </row>
    <row r="583" spans="1:12" ht="21.95" customHeight="1">
      <c r="A583" s="1">
        <v>581</v>
      </c>
      <c r="B583" s="2" t="str">
        <f>"吴睿鸿"</f>
        <v>吴睿鸿</v>
      </c>
      <c r="C583" s="2" t="str">
        <f t="shared" si="34"/>
        <v>女</v>
      </c>
      <c r="D583" s="2" t="s">
        <v>15</v>
      </c>
      <c r="E583" s="2" t="s">
        <v>14</v>
      </c>
      <c r="F583" s="2" t="str">
        <f t="shared" si="32"/>
        <v>E2024024</v>
      </c>
      <c r="G583" s="2" t="s">
        <v>749</v>
      </c>
      <c r="H583" s="6" t="s">
        <v>64</v>
      </c>
      <c r="I583" s="6" t="s">
        <v>71</v>
      </c>
      <c r="J583" s="15">
        <v>78.959999999999994</v>
      </c>
      <c r="K583" s="13">
        <v>19</v>
      </c>
      <c r="L583" s="1"/>
    </row>
    <row r="584" spans="1:12" ht="21.95" customHeight="1">
      <c r="A584" s="1">
        <v>582</v>
      </c>
      <c r="B584" s="2" t="str">
        <f>"向立倩"</f>
        <v>向立倩</v>
      </c>
      <c r="C584" s="2" t="str">
        <f t="shared" si="34"/>
        <v>女</v>
      </c>
      <c r="D584" s="2" t="s">
        <v>15</v>
      </c>
      <c r="E584" s="2" t="s">
        <v>14</v>
      </c>
      <c r="F584" s="2" t="str">
        <f t="shared" si="32"/>
        <v>E2024024</v>
      </c>
      <c r="G584" s="2" t="s">
        <v>722</v>
      </c>
      <c r="H584" s="6" t="s">
        <v>96</v>
      </c>
      <c r="I584" s="6" t="s">
        <v>54</v>
      </c>
      <c r="J584" s="15">
        <v>78.52</v>
      </c>
      <c r="K584" s="13">
        <v>20</v>
      </c>
      <c r="L584" s="1"/>
    </row>
    <row r="585" spans="1:12" ht="21.95" customHeight="1">
      <c r="A585" s="1">
        <v>583</v>
      </c>
      <c r="B585" s="2" t="str">
        <f>"谭德婷"</f>
        <v>谭德婷</v>
      </c>
      <c r="C585" s="2" t="str">
        <f t="shared" si="34"/>
        <v>女</v>
      </c>
      <c r="D585" s="2" t="s">
        <v>15</v>
      </c>
      <c r="E585" s="2" t="s">
        <v>14</v>
      </c>
      <c r="F585" s="2" t="str">
        <f t="shared" si="32"/>
        <v>E2024024</v>
      </c>
      <c r="G585" s="2" t="s">
        <v>672</v>
      </c>
      <c r="H585" s="6" t="s">
        <v>63</v>
      </c>
      <c r="I585" s="6" t="s">
        <v>59</v>
      </c>
      <c r="J585" s="15">
        <v>78.19</v>
      </c>
      <c r="K585" s="13">
        <v>21</v>
      </c>
      <c r="L585" s="1"/>
    </row>
    <row r="586" spans="1:12" ht="21.95" customHeight="1">
      <c r="A586" s="1">
        <v>584</v>
      </c>
      <c r="B586" s="2" t="str">
        <f>"向文娟"</f>
        <v>向文娟</v>
      </c>
      <c r="C586" s="2" t="str">
        <f t="shared" si="34"/>
        <v>女</v>
      </c>
      <c r="D586" s="2" t="s">
        <v>15</v>
      </c>
      <c r="E586" s="2" t="s">
        <v>14</v>
      </c>
      <c r="F586" s="2" t="str">
        <f t="shared" si="32"/>
        <v>E2024024</v>
      </c>
      <c r="G586" s="2" t="s">
        <v>667</v>
      </c>
      <c r="H586" s="6" t="s">
        <v>63</v>
      </c>
      <c r="I586" s="6" t="s">
        <v>32</v>
      </c>
      <c r="J586" s="15">
        <v>78.03</v>
      </c>
      <c r="K586" s="13">
        <v>22</v>
      </c>
      <c r="L586" s="1"/>
    </row>
    <row r="587" spans="1:12" ht="21.95" customHeight="1">
      <c r="A587" s="1">
        <v>585</v>
      </c>
      <c r="B587" s="2" t="str">
        <f>"王承蕊"</f>
        <v>王承蕊</v>
      </c>
      <c r="C587" s="2" t="str">
        <f t="shared" si="34"/>
        <v>女</v>
      </c>
      <c r="D587" s="2" t="s">
        <v>15</v>
      </c>
      <c r="E587" s="2" t="s">
        <v>14</v>
      </c>
      <c r="F587" s="2" t="str">
        <f t="shared" si="32"/>
        <v>E2024024</v>
      </c>
      <c r="G587" s="2" t="s">
        <v>726</v>
      </c>
      <c r="H587" s="6" t="s">
        <v>64</v>
      </c>
      <c r="I587" s="6" t="s">
        <v>56</v>
      </c>
      <c r="J587" s="15">
        <v>77.540000000000006</v>
      </c>
      <c r="K587" s="13">
        <v>23</v>
      </c>
      <c r="L587" s="1"/>
    </row>
    <row r="588" spans="1:12" ht="21.95" customHeight="1">
      <c r="A588" s="1">
        <v>586</v>
      </c>
      <c r="B588" s="2" t="str">
        <f>"王硕维"</f>
        <v>王硕维</v>
      </c>
      <c r="C588" s="2" t="str">
        <f t="shared" si="34"/>
        <v>女</v>
      </c>
      <c r="D588" s="2" t="s">
        <v>15</v>
      </c>
      <c r="E588" s="2" t="s">
        <v>14</v>
      </c>
      <c r="F588" s="2" t="str">
        <f t="shared" si="32"/>
        <v>E2024024</v>
      </c>
      <c r="G588" s="2" t="s">
        <v>669</v>
      </c>
      <c r="H588" s="6" t="s">
        <v>63</v>
      </c>
      <c r="I588" s="6" t="s">
        <v>34</v>
      </c>
      <c r="J588" s="15">
        <v>76.959999999999994</v>
      </c>
      <c r="K588" s="13">
        <v>24</v>
      </c>
      <c r="L588" s="1"/>
    </row>
    <row r="589" spans="1:12" ht="21.95" customHeight="1">
      <c r="A589" s="1">
        <v>587</v>
      </c>
      <c r="B589" s="2" t="str">
        <f>"黄思若"</f>
        <v>黄思若</v>
      </c>
      <c r="C589" s="2" t="str">
        <f t="shared" si="34"/>
        <v>女</v>
      </c>
      <c r="D589" s="2" t="s">
        <v>15</v>
      </c>
      <c r="E589" s="2" t="s">
        <v>14</v>
      </c>
      <c r="F589" s="2" t="str">
        <f t="shared" si="32"/>
        <v>E2024024</v>
      </c>
      <c r="G589" s="2" t="s">
        <v>711</v>
      </c>
      <c r="H589" s="6" t="s">
        <v>46</v>
      </c>
      <c r="I589" s="6" t="s">
        <v>46</v>
      </c>
      <c r="J589" s="15">
        <v>76.819999999999993</v>
      </c>
      <c r="K589" s="13">
        <v>25</v>
      </c>
      <c r="L589" s="1"/>
    </row>
    <row r="590" spans="1:12" ht="21.95" customHeight="1">
      <c r="A590" s="1">
        <v>588</v>
      </c>
      <c r="B590" s="2" t="str">
        <f>"谭婕"</f>
        <v>谭婕</v>
      </c>
      <c r="C590" s="2" t="str">
        <f t="shared" si="34"/>
        <v>女</v>
      </c>
      <c r="D590" s="2" t="s">
        <v>15</v>
      </c>
      <c r="E590" s="2" t="s">
        <v>14</v>
      </c>
      <c r="F590" s="2" t="str">
        <f t="shared" si="32"/>
        <v>E2024024</v>
      </c>
      <c r="G590" s="2" t="s">
        <v>776</v>
      </c>
      <c r="H590" s="6" t="s">
        <v>48</v>
      </c>
      <c r="I590" s="6" t="s">
        <v>66</v>
      </c>
      <c r="J590" s="15">
        <v>76.53</v>
      </c>
      <c r="K590" s="13">
        <v>26</v>
      </c>
      <c r="L590" s="1"/>
    </row>
    <row r="591" spans="1:12" ht="21.95" customHeight="1">
      <c r="A591" s="1">
        <v>589</v>
      </c>
      <c r="B591" s="2" t="str">
        <f>"皮楷琴"</f>
        <v>皮楷琴</v>
      </c>
      <c r="C591" s="2" t="str">
        <f t="shared" si="34"/>
        <v>女</v>
      </c>
      <c r="D591" s="2" t="s">
        <v>15</v>
      </c>
      <c r="E591" s="2" t="s">
        <v>14</v>
      </c>
      <c r="F591" s="2" t="str">
        <f t="shared" si="32"/>
        <v>E2024024</v>
      </c>
      <c r="G591" s="2" t="s">
        <v>701</v>
      </c>
      <c r="H591" s="6" t="s">
        <v>46</v>
      </c>
      <c r="I591" s="6" t="s">
        <v>36</v>
      </c>
      <c r="J591" s="15">
        <v>76.22</v>
      </c>
      <c r="K591" s="13">
        <v>27</v>
      </c>
      <c r="L591" s="1"/>
    </row>
    <row r="592" spans="1:12" ht="21.95" customHeight="1">
      <c r="A592" s="1">
        <v>590</v>
      </c>
      <c r="B592" s="2" t="str">
        <f>"董傲梅"</f>
        <v>董傲梅</v>
      </c>
      <c r="C592" s="2" t="str">
        <f t="shared" si="34"/>
        <v>女</v>
      </c>
      <c r="D592" s="2" t="s">
        <v>15</v>
      </c>
      <c r="E592" s="2" t="s">
        <v>14</v>
      </c>
      <c r="F592" s="2" t="str">
        <f t="shared" si="32"/>
        <v>E2024024</v>
      </c>
      <c r="G592" s="2" t="s">
        <v>713</v>
      </c>
      <c r="H592" s="6" t="s">
        <v>46</v>
      </c>
      <c r="I592" s="6" t="s">
        <v>48</v>
      </c>
      <c r="J592" s="15">
        <v>75.88</v>
      </c>
      <c r="K592" s="13">
        <v>28</v>
      </c>
      <c r="L592" s="1"/>
    </row>
    <row r="593" spans="1:12" ht="21.95" customHeight="1">
      <c r="A593" s="1">
        <v>591</v>
      </c>
      <c r="B593" s="2" t="str">
        <f>"宋倩茜"</f>
        <v>宋倩茜</v>
      </c>
      <c r="C593" s="2" t="str">
        <f t="shared" si="34"/>
        <v>女</v>
      </c>
      <c r="D593" s="2" t="s">
        <v>15</v>
      </c>
      <c r="E593" s="2" t="s">
        <v>14</v>
      </c>
      <c r="F593" s="2" t="str">
        <f t="shared" si="32"/>
        <v>E2024024</v>
      </c>
      <c r="G593" s="2" t="s">
        <v>731</v>
      </c>
      <c r="H593" s="6" t="s">
        <v>64</v>
      </c>
      <c r="I593" s="6" t="s">
        <v>36</v>
      </c>
      <c r="J593" s="15">
        <v>75.510000000000005</v>
      </c>
      <c r="K593" s="13">
        <v>29</v>
      </c>
      <c r="L593" s="1"/>
    </row>
    <row r="594" spans="1:12" ht="21.95" customHeight="1">
      <c r="A594" s="1">
        <v>592</v>
      </c>
      <c r="B594" s="2" t="str">
        <f>"孟皇涛"</f>
        <v>孟皇涛</v>
      </c>
      <c r="C594" s="2" t="str">
        <f t="shared" si="34"/>
        <v>女</v>
      </c>
      <c r="D594" s="2" t="s">
        <v>15</v>
      </c>
      <c r="E594" s="2" t="s">
        <v>14</v>
      </c>
      <c r="F594" s="2" t="str">
        <f t="shared" si="32"/>
        <v>E2024024</v>
      </c>
      <c r="G594" s="2" t="s">
        <v>767</v>
      </c>
      <c r="H594" s="6" t="s">
        <v>48</v>
      </c>
      <c r="I594" s="6" t="s">
        <v>42</v>
      </c>
      <c r="J594" s="15">
        <v>75.39</v>
      </c>
      <c r="K594" s="13">
        <v>30</v>
      </c>
      <c r="L594" s="1"/>
    </row>
    <row r="595" spans="1:12" ht="21.95" customHeight="1">
      <c r="A595" s="1">
        <v>593</v>
      </c>
      <c r="B595" s="2" t="str">
        <f>"冉景舒"</f>
        <v>冉景舒</v>
      </c>
      <c r="C595" s="2" t="str">
        <f t="shared" si="34"/>
        <v>女</v>
      </c>
      <c r="D595" s="2" t="s">
        <v>15</v>
      </c>
      <c r="E595" s="2" t="s">
        <v>14</v>
      </c>
      <c r="F595" s="2" t="str">
        <f t="shared" si="32"/>
        <v>E2024024</v>
      </c>
      <c r="G595" s="2" t="s">
        <v>784</v>
      </c>
      <c r="H595" s="6" t="s">
        <v>65</v>
      </c>
      <c r="I595" s="6" t="s">
        <v>55</v>
      </c>
      <c r="J595" s="15">
        <v>75.27</v>
      </c>
      <c r="K595" s="13">
        <v>31</v>
      </c>
      <c r="L595" s="1"/>
    </row>
    <row r="596" spans="1:12" ht="21.95" customHeight="1">
      <c r="A596" s="1">
        <v>594</v>
      </c>
      <c r="B596" s="2" t="str">
        <f>"刘雅静"</f>
        <v>刘雅静</v>
      </c>
      <c r="C596" s="2" t="str">
        <f t="shared" si="34"/>
        <v>女</v>
      </c>
      <c r="D596" s="2" t="s">
        <v>15</v>
      </c>
      <c r="E596" s="2" t="s">
        <v>14</v>
      </c>
      <c r="F596" s="2" t="str">
        <f t="shared" si="32"/>
        <v>E2024024</v>
      </c>
      <c r="G596" s="2" t="s">
        <v>693</v>
      </c>
      <c r="H596" s="6" t="s">
        <v>46</v>
      </c>
      <c r="I596" s="6" t="s">
        <v>28</v>
      </c>
      <c r="J596" s="15">
        <v>75.239999999999995</v>
      </c>
      <c r="K596" s="13">
        <v>32</v>
      </c>
      <c r="L596" s="1"/>
    </row>
    <row r="597" spans="1:12" ht="21.95" customHeight="1">
      <c r="A597" s="1">
        <v>595</v>
      </c>
      <c r="B597" s="2" t="str">
        <f>"杨珣"</f>
        <v>杨珣</v>
      </c>
      <c r="C597" s="2" t="str">
        <f t="shared" si="34"/>
        <v>女</v>
      </c>
      <c r="D597" s="2" t="s">
        <v>15</v>
      </c>
      <c r="E597" s="2" t="s">
        <v>14</v>
      </c>
      <c r="F597" s="2" t="str">
        <f t="shared" ref="F597:F628" si="35">"E2024024"</f>
        <v>E2024024</v>
      </c>
      <c r="G597" s="2" t="s">
        <v>679</v>
      </c>
      <c r="H597" s="6" t="s">
        <v>63</v>
      </c>
      <c r="I597" s="6" t="s">
        <v>44</v>
      </c>
      <c r="J597" s="15">
        <v>75.12</v>
      </c>
      <c r="K597" s="13">
        <v>33</v>
      </c>
      <c r="L597" s="1"/>
    </row>
    <row r="598" spans="1:12" ht="21.95" customHeight="1">
      <c r="A598" s="1">
        <v>596</v>
      </c>
      <c r="B598" s="2" t="str">
        <f>"田瑶"</f>
        <v>田瑶</v>
      </c>
      <c r="C598" s="2" t="str">
        <f t="shared" si="34"/>
        <v>女</v>
      </c>
      <c r="D598" s="2" t="s">
        <v>15</v>
      </c>
      <c r="E598" s="2" t="s">
        <v>14</v>
      </c>
      <c r="F598" s="2" t="str">
        <f t="shared" si="35"/>
        <v>E2024024</v>
      </c>
      <c r="G598" s="2" t="s">
        <v>732</v>
      </c>
      <c r="H598" s="6" t="s">
        <v>64</v>
      </c>
      <c r="I598" s="6" t="s">
        <v>59</v>
      </c>
      <c r="J598" s="15">
        <v>75.09</v>
      </c>
      <c r="K598" s="13">
        <v>34</v>
      </c>
      <c r="L598" s="1"/>
    </row>
    <row r="599" spans="1:12" ht="21.95" customHeight="1">
      <c r="A599" s="1">
        <v>597</v>
      </c>
      <c r="B599" s="2" t="str">
        <f>"吴桂平"</f>
        <v>吴桂平</v>
      </c>
      <c r="C599" s="2" t="str">
        <f t="shared" si="34"/>
        <v>女</v>
      </c>
      <c r="D599" s="2" t="s">
        <v>15</v>
      </c>
      <c r="E599" s="2" t="s">
        <v>14</v>
      </c>
      <c r="F599" s="2" t="str">
        <f t="shared" si="35"/>
        <v>E2024024</v>
      </c>
      <c r="G599" s="2" t="s">
        <v>666</v>
      </c>
      <c r="H599" s="6" t="s">
        <v>63</v>
      </c>
      <c r="I599" s="6" t="s">
        <v>56</v>
      </c>
      <c r="J599" s="15">
        <v>74.760000000000005</v>
      </c>
      <c r="K599" s="13">
        <v>35</v>
      </c>
      <c r="L599" s="1"/>
    </row>
    <row r="600" spans="1:12" ht="21.95" customHeight="1">
      <c r="A600" s="1">
        <v>598</v>
      </c>
      <c r="B600" s="2" t="str">
        <f>"周鹭"</f>
        <v>周鹭</v>
      </c>
      <c r="C600" s="2" t="str">
        <f t="shared" si="34"/>
        <v>女</v>
      </c>
      <c r="D600" s="2" t="s">
        <v>15</v>
      </c>
      <c r="E600" s="2" t="s">
        <v>14</v>
      </c>
      <c r="F600" s="2" t="str">
        <f t="shared" si="35"/>
        <v>E2024024</v>
      </c>
      <c r="G600" s="2" t="s">
        <v>750</v>
      </c>
      <c r="H600" s="6" t="s">
        <v>64</v>
      </c>
      <c r="I600" s="6" t="s">
        <v>72</v>
      </c>
      <c r="J600" s="15">
        <v>74.05</v>
      </c>
      <c r="K600" s="13">
        <v>36</v>
      </c>
      <c r="L600" s="1"/>
    </row>
    <row r="601" spans="1:12" ht="21.95" customHeight="1">
      <c r="A601" s="1">
        <v>599</v>
      </c>
      <c r="B601" s="2" t="str">
        <f>"杨航彧"</f>
        <v>杨航彧</v>
      </c>
      <c r="C601" s="2" t="str">
        <f>"男"</f>
        <v>男</v>
      </c>
      <c r="D601" s="2" t="s">
        <v>15</v>
      </c>
      <c r="E601" s="2" t="s">
        <v>14</v>
      </c>
      <c r="F601" s="2" t="str">
        <f t="shared" si="35"/>
        <v>E2024024</v>
      </c>
      <c r="G601" s="2" t="s">
        <v>735</v>
      </c>
      <c r="H601" s="6" t="s">
        <v>64</v>
      </c>
      <c r="I601" s="6" t="s">
        <v>40</v>
      </c>
      <c r="J601" s="15">
        <v>73.69</v>
      </c>
      <c r="K601" s="13">
        <v>37</v>
      </c>
      <c r="L601" s="1"/>
    </row>
    <row r="602" spans="1:12" ht="21.95" customHeight="1">
      <c r="A602" s="1">
        <v>600</v>
      </c>
      <c r="B602" s="2" t="str">
        <f>"刘君仪"</f>
        <v>刘君仪</v>
      </c>
      <c r="C602" s="2" t="str">
        <f>"女"</f>
        <v>女</v>
      </c>
      <c r="D602" s="2" t="s">
        <v>15</v>
      </c>
      <c r="E602" s="2" t="s">
        <v>14</v>
      </c>
      <c r="F602" s="2" t="str">
        <f t="shared" si="35"/>
        <v>E2024024</v>
      </c>
      <c r="G602" s="2" t="s">
        <v>695</v>
      </c>
      <c r="H602" s="6" t="s">
        <v>46</v>
      </c>
      <c r="I602" s="6" t="s">
        <v>30</v>
      </c>
      <c r="J602" s="15">
        <v>73.47</v>
      </c>
      <c r="K602" s="13">
        <v>38</v>
      </c>
      <c r="L602" s="1"/>
    </row>
    <row r="603" spans="1:12" ht="21.95" customHeight="1">
      <c r="A603" s="1">
        <v>601</v>
      </c>
      <c r="B603" s="2" t="str">
        <f>"刘永红"</f>
        <v>刘永红</v>
      </c>
      <c r="C603" s="2" t="str">
        <f>"男"</f>
        <v>男</v>
      </c>
      <c r="D603" s="2" t="s">
        <v>15</v>
      </c>
      <c r="E603" s="2" t="s">
        <v>14</v>
      </c>
      <c r="F603" s="2" t="str">
        <f t="shared" si="35"/>
        <v>E2024024</v>
      </c>
      <c r="G603" s="2" t="s">
        <v>704</v>
      </c>
      <c r="H603" s="6" t="s">
        <v>46</v>
      </c>
      <c r="I603" s="6" t="s">
        <v>60</v>
      </c>
      <c r="J603" s="15">
        <v>73.47</v>
      </c>
      <c r="K603" s="13">
        <v>38</v>
      </c>
      <c r="L603" s="1"/>
    </row>
    <row r="604" spans="1:12" ht="21.95" customHeight="1">
      <c r="A604" s="1">
        <v>602</v>
      </c>
      <c r="B604" s="2" t="str">
        <f>"余鸿"</f>
        <v>余鸿</v>
      </c>
      <c r="C604" s="2" t="str">
        <f t="shared" ref="C604:C626" si="36">"女"</f>
        <v>女</v>
      </c>
      <c r="D604" s="2" t="s">
        <v>15</v>
      </c>
      <c r="E604" s="2" t="s">
        <v>14</v>
      </c>
      <c r="F604" s="2" t="str">
        <f t="shared" si="35"/>
        <v>E2024024</v>
      </c>
      <c r="G604" s="2" t="s">
        <v>714</v>
      </c>
      <c r="H604" s="6" t="s">
        <v>46</v>
      </c>
      <c r="I604" s="6" t="s">
        <v>65</v>
      </c>
      <c r="J604" s="15">
        <v>72.930000000000007</v>
      </c>
      <c r="K604" s="13">
        <v>40</v>
      </c>
      <c r="L604" s="1"/>
    </row>
    <row r="605" spans="1:12" ht="21.95" customHeight="1">
      <c r="A605" s="1">
        <v>603</v>
      </c>
      <c r="B605" s="2" t="str">
        <f>"王妍君"</f>
        <v>王妍君</v>
      </c>
      <c r="C605" s="2" t="str">
        <f t="shared" si="36"/>
        <v>女</v>
      </c>
      <c r="D605" s="2" t="s">
        <v>15</v>
      </c>
      <c r="E605" s="2" t="s">
        <v>14</v>
      </c>
      <c r="F605" s="2" t="str">
        <f t="shared" si="35"/>
        <v>E2024024</v>
      </c>
      <c r="G605" s="2" t="s">
        <v>721</v>
      </c>
      <c r="H605" s="6" t="s">
        <v>96</v>
      </c>
      <c r="I605" s="6" t="s">
        <v>26</v>
      </c>
      <c r="J605" s="15">
        <v>72.92</v>
      </c>
      <c r="K605" s="13">
        <v>41</v>
      </c>
      <c r="L605" s="1"/>
    </row>
    <row r="606" spans="1:12" ht="21.95" customHeight="1">
      <c r="A606" s="1">
        <v>604</v>
      </c>
      <c r="B606" s="2" t="str">
        <f>"张璇"</f>
        <v>张璇</v>
      </c>
      <c r="C606" s="2" t="str">
        <f t="shared" si="36"/>
        <v>女</v>
      </c>
      <c r="D606" s="2" t="s">
        <v>15</v>
      </c>
      <c r="E606" s="2" t="s">
        <v>14</v>
      </c>
      <c r="F606" s="2" t="str">
        <f t="shared" si="35"/>
        <v>E2024024</v>
      </c>
      <c r="G606" s="2" t="s">
        <v>752</v>
      </c>
      <c r="H606" s="6" t="s">
        <v>97</v>
      </c>
      <c r="I606" s="6" t="s">
        <v>54</v>
      </c>
      <c r="J606" s="15">
        <v>72.78</v>
      </c>
      <c r="K606" s="13">
        <v>42</v>
      </c>
      <c r="L606" s="1"/>
    </row>
    <row r="607" spans="1:12" ht="21.95" customHeight="1">
      <c r="A607" s="1">
        <v>605</v>
      </c>
      <c r="B607" s="2" t="str">
        <f>"陈敏"</f>
        <v>陈敏</v>
      </c>
      <c r="C607" s="2" t="str">
        <f t="shared" si="36"/>
        <v>女</v>
      </c>
      <c r="D607" s="2" t="s">
        <v>15</v>
      </c>
      <c r="E607" s="2" t="s">
        <v>14</v>
      </c>
      <c r="F607" s="2" t="str">
        <f t="shared" si="35"/>
        <v>E2024024</v>
      </c>
      <c r="G607" s="2" t="s">
        <v>789</v>
      </c>
      <c r="H607" s="6" t="s">
        <v>65</v>
      </c>
      <c r="I607" s="6" t="s">
        <v>34</v>
      </c>
      <c r="J607" s="15">
        <v>72.7</v>
      </c>
      <c r="K607" s="13">
        <v>43</v>
      </c>
      <c r="L607" s="1"/>
    </row>
    <row r="608" spans="1:12" ht="21.95" customHeight="1">
      <c r="A608" s="1">
        <v>606</v>
      </c>
      <c r="B608" s="2" t="str">
        <f>"段珍珠"</f>
        <v>段珍珠</v>
      </c>
      <c r="C608" s="2" t="str">
        <f t="shared" si="36"/>
        <v>女</v>
      </c>
      <c r="D608" s="2" t="s">
        <v>15</v>
      </c>
      <c r="E608" s="2" t="s">
        <v>14</v>
      </c>
      <c r="F608" s="2" t="str">
        <f t="shared" si="35"/>
        <v>E2024024</v>
      </c>
      <c r="G608" s="2" t="s">
        <v>703</v>
      </c>
      <c r="H608" s="6" t="s">
        <v>46</v>
      </c>
      <c r="I608" s="6" t="s">
        <v>38</v>
      </c>
      <c r="J608" s="15">
        <v>72.64</v>
      </c>
      <c r="K608" s="13">
        <v>44</v>
      </c>
      <c r="L608" s="1"/>
    </row>
    <row r="609" spans="1:12" ht="21.95" customHeight="1">
      <c r="A609" s="1">
        <v>607</v>
      </c>
      <c r="B609" s="2" t="str">
        <f>"李妍霖"</f>
        <v>李妍霖</v>
      </c>
      <c r="C609" s="2" t="str">
        <f t="shared" si="36"/>
        <v>女</v>
      </c>
      <c r="D609" s="2" t="s">
        <v>15</v>
      </c>
      <c r="E609" s="2" t="s">
        <v>14</v>
      </c>
      <c r="F609" s="2" t="str">
        <f t="shared" si="35"/>
        <v>E2024024</v>
      </c>
      <c r="G609" s="2" t="s">
        <v>715</v>
      </c>
      <c r="H609" s="6" t="s">
        <v>46</v>
      </c>
      <c r="I609" s="6" t="s">
        <v>50</v>
      </c>
      <c r="J609" s="15">
        <v>72.53</v>
      </c>
      <c r="K609" s="13">
        <v>45</v>
      </c>
      <c r="L609" s="1"/>
    </row>
    <row r="610" spans="1:12" ht="21.95" customHeight="1">
      <c r="A610" s="1">
        <v>608</v>
      </c>
      <c r="B610" s="2" t="str">
        <f>"丁超群"</f>
        <v>丁超群</v>
      </c>
      <c r="C610" s="2" t="str">
        <f t="shared" si="36"/>
        <v>女</v>
      </c>
      <c r="D610" s="2" t="s">
        <v>15</v>
      </c>
      <c r="E610" s="2" t="s">
        <v>14</v>
      </c>
      <c r="F610" s="2" t="str">
        <f t="shared" si="35"/>
        <v>E2024024</v>
      </c>
      <c r="G610" s="2" t="s">
        <v>705</v>
      </c>
      <c r="H610" s="6" t="s">
        <v>46</v>
      </c>
      <c r="I610" s="6" t="s">
        <v>40</v>
      </c>
      <c r="J610" s="15">
        <v>72.22</v>
      </c>
      <c r="K610" s="13">
        <v>46</v>
      </c>
      <c r="L610" s="1"/>
    </row>
    <row r="611" spans="1:12" ht="21.95" customHeight="1">
      <c r="A611" s="1">
        <v>609</v>
      </c>
      <c r="B611" s="2" t="str">
        <f>"李艾霖"</f>
        <v>李艾霖</v>
      </c>
      <c r="C611" s="2" t="str">
        <f t="shared" si="36"/>
        <v>女</v>
      </c>
      <c r="D611" s="2" t="s">
        <v>15</v>
      </c>
      <c r="E611" s="2" t="s">
        <v>14</v>
      </c>
      <c r="F611" s="2" t="str">
        <f t="shared" si="35"/>
        <v>E2024024</v>
      </c>
      <c r="G611" s="2" t="s">
        <v>716</v>
      </c>
      <c r="H611" s="6" t="s">
        <v>46</v>
      </c>
      <c r="I611" s="6" t="s">
        <v>66</v>
      </c>
      <c r="J611" s="15">
        <v>72.11</v>
      </c>
      <c r="K611" s="13">
        <v>47</v>
      </c>
      <c r="L611" s="1"/>
    </row>
    <row r="612" spans="1:12" ht="21.95" customHeight="1">
      <c r="A612" s="1">
        <v>610</v>
      </c>
      <c r="B612" s="2" t="str">
        <f>"杨婕"</f>
        <v>杨婕</v>
      </c>
      <c r="C612" s="2" t="str">
        <f t="shared" si="36"/>
        <v>女</v>
      </c>
      <c r="D612" s="2" t="s">
        <v>15</v>
      </c>
      <c r="E612" s="2" t="s">
        <v>14</v>
      </c>
      <c r="F612" s="2" t="str">
        <f t="shared" si="35"/>
        <v>E2024024</v>
      </c>
      <c r="G612" s="2" t="s">
        <v>740</v>
      </c>
      <c r="H612" s="6" t="s">
        <v>64</v>
      </c>
      <c r="I612" s="6" t="s">
        <v>63</v>
      </c>
      <c r="J612" s="15">
        <v>72.010000000000005</v>
      </c>
      <c r="K612" s="13">
        <v>48</v>
      </c>
      <c r="L612" s="1"/>
    </row>
    <row r="613" spans="1:12" ht="21.95" customHeight="1">
      <c r="A613" s="1">
        <v>611</v>
      </c>
      <c r="B613" s="2" t="str">
        <f>"张涛"</f>
        <v>张涛</v>
      </c>
      <c r="C613" s="2" t="str">
        <f t="shared" si="36"/>
        <v>女</v>
      </c>
      <c r="D613" s="2" t="s">
        <v>15</v>
      </c>
      <c r="E613" s="2" t="s">
        <v>14</v>
      </c>
      <c r="F613" s="2" t="str">
        <f t="shared" si="35"/>
        <v>E2024024</v>
      </c>
      <c r="G613" s="2" t="s">
        <v>678</v>
      </c>
      <c r="H613" s="6" t="s">
        <v>63</v>
      </c>
      <c r="I613" s="6" t="s">
        <v>62</v>
      </c>
      <c r="J613" s="15">
        <v>71.39</v>
      </c>
      <c r="K613" s="13">
        <v>49</v>
      </c>
      <c r="L613" s="1"/>
    </row>
    <row r="614" spans="1:12" ht="21.95" customHeight="1">
      <c r="A614" s="1">
        <v>612</v>
      </c>
      <c r="B614" s="2" t="str">
        <f>"段娅苹"</f>
        <v>段娅苹</v>
      </c>
      <c r="C614" s="2" t="str">
        <f t="shared" si="36"/>
        <v>女</v>
      </c>
      <c r="D614" s="2" t="s">
        <v>15</v>
      </c>
      <c r="E614" s="2" t="s">
        <v>14</v>
      </c>
      <c r="F614" s="2" t="str">
        <f t="shared" si="35"/>
        <v>E2024024</v>
      </c>
      <c r="G614" s="2" t="s">
        <v>764</v>
      </c>
      <c r="H614" s="6" t="s">
        <v>48</v>
      </c>
      <c r="I614" s="6" t="s">
        <v>60</v>
      </c>
      <c r="J614" s="15">
        <v>71.3</v>
      </c>
      <c r="K614" s="13">
        <v>50</v>
      </c>
      <c r="L614" s="1"/>
    </row>
    <row r="615" spans="1:12" ht="21.95" customHeight="1">
      <c r="A615" s="1">
        <v>613</v>
      </c>
      <c r="B615" s="2" t="str">
        <f>"吴小清"</f>
        <v>吴小清</v>
      </c>
      <c r="C615" s="2" t="str">
        <f t="shared" si="36"/>
        <v>女</v>
      </c>
      <c r="D615" s="2" t="s">
        <v>15</v>
      </c>
      <c r="E615" s="2" t="s">
        <v>14</v>
      </c>
      <c r="F615" s="2" t="str">
        <f t="shared" si="35"/>
        <v>E2024024</v>
      </c>
      <c r="G615" s="2" t="s">
        <v>758</v>
      </c>
      <c r="H615" s="6" t="s">
        <v>48</v>
      </c>
      <c r="I615" s="6" t="s">
        <v>57</v>
      </c>
      <c r="J615" s="15">
        <v>70.930000000000007</v>
      </c>
      <c r="K615" s="13">
        <v>51</v>
      </c>
      <c r="L615" s="1"/>
    </row>
    <row r="616" spans="1:12" ht="21.95" customHeight="1">
      <c r="A616" s="1">
        <v>614</v>
      </c>
      <c r="B616" s="2" t="str">
        <f>"田菁蔓"</f>
        <v>田菁蔓</v>
      </c>
      <c r="C616" s="2" t="str">
        <f t="shared" si="36"/>
        <v>女</v>
      </c>
      <c r="D616" s="2" t="s">
        <v>15</v>
      </c>
      <c r="E616" s="2" t="s">
        <v>14</v>
      </c>
      <c r="F616" s="2" t="str">
        <f t="shared" si="35"/>
        <v>E2024024</v>
      </c>
      <c r="G616" s="2" t="s">
        <v>675</v>
      </c>
      <c r="H616" s="6" t="s">
        <v>63</v>
      </c>
      <c r="I616" s="6" t="s">
        <v>40</v>
      </c>
      <c r="J616" s="15">
        <v>70.7</v>
      </c>
      <c r="K616" s="13">
        <v>52</v>
      </c>
      <c r="L616" s="1"/>
    </row>
    <row r="617" spans="1:12" ht="21.95" customHeight="1">
      <c r="A617" s="1">
        <v>615</v>
      </c>
      <c r="B617" s="2" t="str">
        <f>"刘香玉"</f>
        <v>刘香玉</v>
      </c>
      <c r="C617" s="2" t="str">
        <f t="shared" si="36"/>
        <v>女</v>
      </c>
      <c r="D617" s="2" t="s">
        <v>15</v>
      </c>
      <c r="E617" s="2" t="s">
        <v>14</v>
      </c>
      <c r="F617" s="2" t="str">
        <f t="shared" si="35"/>
        <v>E2024024</v>
      </c>
      <c r="G617" s="2" t="s">
        <v>769</v>
      </c>
      <c r="H617" s="6" t="s">
        <v>48</v>
      </c>
      <c r="I617" s="6" t="s">
        <v>44</v>
      </c>
      <c r="J617" s="15">
        <v>70.64</v>
      </c>
      <c r="K617" s="13">
        <v>53</v>
      </c>
      <c r="L617" s="1"/>
    </row>
    <row r="618" spans="1:12" ht="21.95" customHeight="1">
      <c r="A618" s="1">
        <v>616</v>
      </c>
      <c r="B618" s="2" t="str">
        <f>"贾丽娜"</f>
        <v>贾丽娜</v>
      </c>
      <c r="C618" s="2" t="str">
        <f t="shared" si="36"/>
        <v>女</v>
      </c>
      <c r="D618" s="2" t="s">
        <v>15</v>
      </c>
      <c r="E618" s="2" t="s">
        <v>14</v>
      </c>
      <c r="F618" s="2" t="str">
        <f t="shared" si="35"/>
        <v>E2024024</v>
      </c>
      <c r="G618" s="2" t="s">
        <v>686</v>
      </c>
      <c r="H618" s="6" t="s">
        <v>63</v>
      </c>
      <c r="I618" s="6" t="s">
        <v>66</v>
      </c>
      <c r="J618" s="15">
        <v>70.27</v>
      </c>
      <c r="K618" s="13">
        <v>54</v>
      </c>
      <c r="L618" s="1"/>
    </row>
    <row r="619" spans="1:12" ht="21.95" customHeight="1">
      <c r="A619" s="1">
        <v>617</v>
      </c>
      <c r="B619" s="2" t="str">
        <f>"聂富伟"</f>
        <v>聂富伟</v>
      </c>
      <c r="C619" s="2" t="str">
        <f t="shared" si="36"/>
        <v>女</v>
      </c>
      <c r="D619" s="2" t="s">
        <v>15</v>
      </c>
      <c r="E619" s="2" t="s">
        <v>14</v>
      </c>
      <c r="F619" s="2" t="str">
        <f t="shared" si="35"/>
        <v>E2024024</v>
      </c>
      <c r="G619" s="2" t="s">
        <v>725</v>
      </c>
      <c r="H619" s="6" t="s">
        <v>64</v>
      </c>
      <c r="I619" s="6" t="s">
        <v>30</v>
      </c>
      <c r="J619" s="15">
        <v>69.73</v>
      </c>
      <c r="K619" s="13">
        <v>55</v>
      </c>
      <c r="L619" s="1"/>
    </row>
    <row r="620" spans="1:12" ht="21.95" customHeight="1">
      <c r="A620" s="1">
        <v>618</v>
      </c>
      <c r="B620" s="2" t="str">
        <f>"刘和银"</f>
        <v>刘和银</v>
      </c>
      <c r="C620" s="2" t="str">
        <f t="shared" si="36"/>
        <v>女</v>
      </c>
      <c r="D620" s="2" t="s">
        <v>15</v>
      </c>
      <c r="E620" s="2" t="s">
        <v>14</v>
      </c>
      <c r="F620" s="2" t="str">
        <f t="shared" si="35"/>
        <v>E2024024</v>
      </c>
      <c r="G620" s="2" t="s">
        <v>727</v>
      </c>
      <c r="H620" s="6" t="s">
        <v>64</v>
      </c>
      <c r="I620" s="6" t="s">
        <v>32</v>
      </c>
      <c r="J620" s="15">
        <v>69.63</v>
      </c>
      <c r="K620" s="13">
        <v>56</v>
      </c>
      <c r="L620" s="1"/>
    </row>
    <row r="621" spans="1:12" ht="21.95" customHeight="1">
      <c r="A621" s="1">
        <v>619</v>
      </c>
      <c r="B621" s="2" t="str">
        <f>"张琴"</f>
        <v>张琴</v>
      </c>
      <c r="C621" s="2" t="str">
        <f t="shared" si="36"/>
        <v>女</v>
      </c>
      <c r="D621" s="2" t="s">
        <v>15</v>
      </c>
      <c r="E621" s="2" t="s">
        <v>14</v>
      </c>
      <c r="F621" s="2" t="str">
        <f t="shared" si="35"/>
        <v>E2024024</v>
      </c>
      <c r="G621" s="2" t="s">
        <v>806</v>
      </c>
      <c r="H621" s="6" t="s">
        <v>65</v>
      </c>
      <c r="I621" s="6" t="s">
        <v>66</v>
      </c>
      <c r="J621" s="15">
        <v>69.38</v>
      </c>
      <c r="K621" s="13">
        <v>57</v>
      </c>
      <c r="L621" s="1"/>
    </row>
    <row r="622" spans="1:12" ht="21.95" customHeight="1">
      <c r="A622" s="1">
        <v>620</v>
      </c>
      <c r="B622" s="2" t="str">
        <f>"杨田"</f>
        <v>杨田</v>
      </c>
      <c r="C622" s="2" t="str">
        <f t="shared" si="36"/>
        <v>女</v>
      </c>
      <c r="D622" s="2" t="s">
        <v>15</v>
      </c>
      <c r="E622" s="2" t="s">
        <v>14</v>
      </c>
      <c r="F622" s="2" t="str">
        <f t="shared" si="35"/>
        <v>E2024024</v>
      </c>
      <c r="G622" s="2" t="s">
        <v>708</v>
      </c>
      <c r="H622" s="6" t="s">
        <v>46</v>
      </c>
      <c r="I622" s="6" t="s">
        <v>62</v>
      </c>
      <c r="J622" s="15">
        <v>69.06</v>
      </c>
      <c r="K622" s="13">
        <v>58</v>
      </c>
      <c r="L622" s="1"/>
    </row>
    <row r="623" spans="1:12" ht="21.95" customHeight="1">
      <c r="A623" s="1">
        <v>621</v>
      </c>
      <c r="B623" s="2" t="str">
        <f>"曾宪宇"</f>
        <v>曾宪宇</v>
      </c>
      <c r="C623" s="2" t="str">
        <f t="shared" si="36"/>
        <v>女</v>
      </c>
      <c r="D623" s="2" t="s">
        <v>15</v>
      </c>
      <c r="E623" s="2" t="s">
        <v>14</v>
      </c>
      <c r="F623" s="2" t="str">
        <f t="shared" si="35"/>
        <v>E2024024</v>
      </c>
      <c r="G623" s="2" t="s">
        <v>791</v>
      </c>
      <c r="H623" s="6" t="s">
        <v>65</v>
      </c>
      <c r="I623" s="6" t="s">
        <v>36</v>
      </c>
      <c r="J623" s="15">
        <v>68.900000000000006</v>
      </c>
      <c r="K623" s="13">
        <v>59</v>
      </c>
      <c r="L623" s="1"/>
    </row>
    <row r="624" spans="1:12" ht="21.95" customHeight="1">
      <c r="A624" s="1">
        <v>622</v>
      </c>
      <c r="B624" s="2" t="str">
        <f>"李妍霖"</f>
        <v>李妍霖</v>
      </c>
      <c r="C624" s="2" t="str">
        <f t="shared" si="36"/>
        <v>女</v>
      </c>
      <c r="D624" s="2" t="s">
        <v>15</v>
      </c>
      <c r="E624" s="2" t="s">
        <v>14</v>
      </c>
      <c r="F624" s="2" t="str">
        <f t="shared" si="35"/>
        <v>E2024024</v>
      </c>
      <c r="G624" s="2" t="s">
        <v>754</v>
      </c>
      <c r="H624" s="6" t="s">
        <v>48</v>
      </c>
      <c r="I624" s="6" t="s">
        <v>55</v>
      </c>
      <c r="J624" s="15">
        <v>68.819999999999993</v>
      </c>
      <c r="K624" s="13">
        <v>60</v>
      </c>
      <c r="L624" s="1"/>
    </row>
    <row r="625" spans="1:12" ht="21.95" customHeight="1">
      <c r="A625" s="1">
        <v>623</v>
      </c>
      <c r="B625" s="2" t="str">
        <f>"谭艳玲"</f>
        <v>谭艳玲</v>
      </c>
      <c r="C625" s="2" t="str">
        <f t="shared" si="36"/>
        <v>女</v>
      </c>
      <c r="D625" s="2" t="s">
        <v>15</v>
      </c>
      <c r="E625" s="2" t="s">
        <v>14</v>
      </c>
      <c r="F625" s="2" t="str">
        <f t="shared" si="35"/>
        <v>E2024024</v>
      </c>
      <c r="G625" s="2" t="s">
        <v>724</v>
      </c>
      <c r="H625" s="6" t="s">
        <v>64</v>
      </c>
      <c r="I625" s="6" t="s">
        <v>55</v>
      </c>
      <c r="J625" s="15">
        <v>68.64</v>
      </c>
      <c r="K625" s="13">
        <v>61</v>
      </c>
      <c r="L625" s="1"/>
    </row>
    <row r="626" spans="1:12" ht="21.95" customHeight="1">
      <c r="A626" s="1">
        <v>624</v>
      </c>
      <c r="B626" s="2" t="str">
        <f>"鄢君兰"</f>
        <v>鄢君兰</v>
      </c>
      <c r="C626" s="2" t="str">
        <f t="shared" si="36"/>
        <v>女</v>
      </c>
      <c r="D626" s="2" t="s">
        <v>15</v>
      </c>
      <c r="E626" s="2" t="s">
        <v>14</v>
      </c>
      <c r="F626" s="2" t="str">
        <f t="shared" si="35"/>
        <v>E2024024</v>
      </c>
      <c r="G626" s="2" t="s">
        <v>718</v>
      </c>
      <c r="H626" s="6" t="s">
        <v>46</v>
      </c>
      <c r="I626" s="6" t="s">
        <v>67</v>
      </c>
      <c r="J626" s="15">
        <v>68.290000000000006</v>
      </c>
      <c r="K626" s="13">
        <v>62</v>
      </c>
      <c r="L626" s="1"/>
    </row>
    <row r="627" spans="1:12" ht="21.95" customHeight="1">
      <c r="A627" s="1">
        <v>625</v>
      </c>
      <c r="B627" s="2" t="str">
        <f>"李先润"</f>
        <v>李先润</v>
      </c>
      <c r="C627" s="2" t="str">
        <f>"男"</f>
        <v>男</v>
      </c>
      <c r="D627" s="2" t="s">
        <v>15</v>
      </c>
      <c r="E627" s="2" t="s">
        <v>14</v>
      </c>
      <c r="F627" s="2" t="str">
        <f t="shared" si="35"/>
        <v>E2024024</v>
      </c>
      <c r="G627" s="2" t="s">
        <v>751</v>
      </c>
      <c r="H627" s="6" t="s">
        <v>97</v>
      </c>
      <c r="I627" s="6" t="s">
        <v>26</v>
      </c>
      <c r="J627" s="15">
        <v>68.180000000000007</v>
      </c>
      <c r="K627" s="13">
        <v>63</v>
      </c>
      <c r="L627" s="1"/>
    </row>
    <row r="628" spans="1:12" ht="21.95" customHeight="1">
      <c r="A628" s="1">
        <v>626</v>
      </c>
      <c r="B628" s="2" t="str">
        <f>"张煜垚"</f>
        <v>张煜垚</v>
      </c>
      <c r="C628" s="2" t="str">
        <f t="shared" ref="C628:C652" si="37">"女"</f>
        <v>女</v>
      </c>
      <c r="D628" s="2" t="s">
        <v>15</v>
      </c>
      <c r="E628" s="2" t="s">
        <v>14</v>
      </c>
      <c r="F628" s="2" t="str">
        <f t="shared" si="35"/>
        <v>E2024024</v>
      </c>
      <c r="G628" s="2" t="s">
        <v>761</v>
      </c>
      <c r="H628" s="6" t="s">
        <v>48</v>
      </c>
      <c r="I628" s="6" t="s">
        <v>36</v>
      </c>
      <c r="J628" s="15">
        <v>66.41</v>
      </c>
      <c r="K628" s="13">
        <v>64</v>
      </c>
      <c r="L628" s="1"/>
    </row>
    <row r="629" spans="1:12" ht="21.95" customHeight="1">
      <c r="A629" s="1">
        <v>627</v>
      </c>
      <c r="B629" s="2" t="str">
        <f>"谭巧"</f>
        <v>谭巧</v>
      </c>
      <c r="C629" s="2" t="str">
        <f t="shared" si="37"/>
        <v>女</v>
      </c>
      <c r="D629" s="2" t="s">
        <v>15</v>
      </c>
      <c r="E629" s="2" t="s">
        <v>14</v>
      </c>
      <c r="F629" s="2" t="str">
        <f t="shared" ref="F629:F660" si="38">"E2024024"</f>
        <v>E2024024</v>
      </c>
      <c r="G629" s="2" t="s">
        <v>760</v>
      </c>
      <c r="H629" s="6" t="s">
        <v>48</v>
      </c>
      <c r="I629" s="6" t="s">
        <v>58</v>
      </c>
      <c r="J629" s="15">
        <v>66.12</v>
      </c>
      <c r="K629" s="13">
        <v>65</v>
      </c>
      <c r="L629" s="1"/>
    </row>
    <row r="630" spans="1:12" ht="21.95" customHeight="1">
      <c r="A630" s="1">
        <v>628</v>
      </c>
      <c r="B630" s="2" t="str">
        <f>"吴豪"</f>
        <v>吴豪</v>
      </c>
      <c r="C630" s="2" t="str">
        <f t="shared" si="37"/>
        <v>女</v>
      </c>
      <c r="D630" s="2" t="s">
        <v>15</v>
      </c>
      <c r="E630" s="2" t="s">
        <v>14</v>
      </c>
      <c r="F630" s="2" t="str">
        <f t="shared" si="38"/>
        <v>E2024024</v>
      </c>
      <c r="G630" s="2" t="s">
        <v>800</v>
      </c>
      <c r="H630" s="6" t="s">
        <v>65</v>
      </c>
      <c r="I630" s="6" t="s">
        <v>63</v>
      </c>
      <c r="J630" s="15">
        <v>54.83</v>
      </c>
      <c r="K630" s="13">
        <v>66</v>
      </c>
      <c r="L630" s="1"/>
    </row>
    <row r="631" spans="1:12" ht="21.95" customHeight="1">
      <c r="A631" s="1">
        <v>629</v>
      </c>
      <c r="B631" s="2" t="str">
        <f>"朱梦仙"</f>
        <v>朱梦仙</v>
      </c>
      <c r="C631" s="2" t="str">
        <f t="shared" si="37"/>
        <v>女</v>
      </c>
      <c r="D631" s="2" t="s">
        <v>15</v>
      </c>
      <c r="E631" s="2" t="s">
        <v>14</v>
      </c>
      <c r="F631" s="2" t="str">
        <f t="shared" si="38"/>
        <v>E2024024</v>
      </c>
      <c r="G631" s="2" t="s">
        <v>663</v>
      </c>
      <c r="H631" s="6" t="s">
        <v>63</v>
      </c>
      <c r="I631" s="6" t="s">
        <v>28</v>
      </c>
      <c r="J631" s="15"/>
      <c r="K631" s="13"/>
      <c r="L631" s="3" t="s">
        <v>831</v>
      </c>
    </row>
    <row r="632" spans="1:12" ht="21.95" customHeight="1">
      <c r="A632" s="1">
        <v>630</v>
      </c>
      <c r="B632" s="2" t="str">
        <f>"谭云云"</f>
        <v>谭云云</v>
      </c>
      <c r="C632" s="2" t="str">
        <f t="shared" si="37"/>
        <v>女</v>
      </c>
      <c r="D632" s="2" t="s">
        <v>15</v>
      </c>
      <c r="E632" s="2" t="s">
        <v>14</v>
      </c>
      <c r="F632" s="2" t="str">
        <f t="shared" si="38"/>
        <v>E2024024</v>
      </c>
      <c r="G632" s="2" t="s">
        <v>664</v>
      </c>
      <c r="H632" s="6" t="s">
        <v>63</v>
      </c>
      <c r="I632" s="6" t="s">
        <v>55</v>
      </c>
      <c r="J632" s="15"/>
      <c r="K632" s="13"/>
      <c r="L632" s="3" t="s">
        <v>831</v>
      </c>
    </row>
    <row r="633" spans="1:12" ht="21.95" customHeight="1">
      <c r="A633" s="1">
        <v>631</v>
      </c>
      <c r="B633" s="2" t="str">
        <f>"余秀雯"</f>
        <v>余秀雯</v>
      </c>
      <c r="C633" s="2" t="str">
        <f t="shared" si="37"/>
        <v>女</v>
      </c>
      <c r="D633" s="2" t="s">
        <v>15</v>
      </c>
      <c r="E633" s="2" t="s">
        <v>14</v>
      </c>
      <c r="F633" s="2" t="str">
        <f t="shared" si="38"/>
        <v>E2024024</v>
      </c>
      <c r="G633" s="2" t="s">
        <v>665</v>
      </c>
      <c r="H633" s="6" t="s">
        <v>63</v>
      </c>
      <c r="I633" s="6" t="s">
        <v>30</v>
      </c>
      <c r="J633" s="15"/>
      <c r="K633" s="13"/>
      <c r="L633" s="3" t="s">
        <v>831</v>
      </c>
    </row>
    <row r="634" spans="1:12" ht="21.95" customHeight="1">
      <c r="A634" s="1">
        <v>632</v>
      </c>
      <c r="B634" s="2" t="str">
        <f>"王安妮"</f>
        <v>王安妮</v>
      </c>
      <c r="C634" s="2" t="str">
        <f t="shared" si="37"/>
        <v>女</v>
      </c>
      <c r="D634" s="2" t="s">
        <v>15</v>
      </c>
      <c r="E634" s="2" t="s">
        <v>14</v>
      </c>
      <c r="F634" s="2" t="str">
        <f t="shared" si="38"/>
        <v>E2024024</v>
      </c>
      <c r="G634" s="2" t="s">
        <v>668</v>
      </c>
      <c r="H634" s="6" t="s">
        <v>63</v>
      </c>
      <c r="I634" s="6" t="s">
        <v>57</v>
      </c>
      <c r="J634" s="15"/>
      <c r="K634" s="13"/>
      <c r="L634" s="3" t="s">
        <v>831</v>
      </c>
    </row>
    <row r="635" spans="1:12" ht="21.95" customHeight="1">
      <c r="A635" s="1">
        <v>633</v>
      </c>
      <c r="B635" s="2" t="str">
        <f>"李晓倩"</f>
        <v>李晓倩</v>
      </c>
      <c r="C635" s="2" t="str">
        <f t="shared" si="37"/>
        <v>女</v>
      </c>
      <c r="D635" s="2" t="s">
        <v>15</v>
      </c>
      <c r="E635" s="2" t="s">
        <v>14</v>
      </c>
      <c r="F635" s="2" t="str">
        <f t="shared" si="38"/>
        <v>E2024024</v>
      </c>
      <c r="G635" s="2" t="s">
        <v>670</v>
      </c>
      <c r="H635" s="6" t="s">
        <v>63</v>
      </c>
      <c r="I635" s="6" t="s">
        <v>58</v>
      </c>
      <c r="J635" s="15"/>
      <c r="K635" s="13"/>
      <c r="L635" s="3" t="s">
        <v>831</v>
      </c>
    </row>
    <row r="636" spans="1:12" ht="21.95" customHeight="1">
      <c r="A636" s="1">
        <v>634</v>
      </c>
      <c r="B636" s="2" t="str">
        <f>"黄雨蒙"</f>
        <v>黄雨蒙</v>
      </c>
      <c r="C636" s="2" t="str">
        <f t="shared" si="37"/>
        <v>女</v>
      </c>
      <c r="D636" s="2" t="s">
        <v>15</v>
      </c>
      <c r="E636" s="2" t="s">
        <v>14</v>
      </c>
      <c r="F636" s="2" t="str">
        <f t="shared" si="38"/>
        <v>E2024024</v>
      </c>
      <c r="G636" s="2" t="s">
        <v>671</v>
      </c>
      <c r="H636" s="6" t="s">
        <v>63</v>
      </c>
      <c r="I636" s="6" t="s">
        <v>36</v>
      </c>
      <c r="J636" s="15"/>
      <c r="K636" s="13"/>
      <c r="L636" s="3" t="s">
        <v>831</v>
      </c>
    </row>
    <row r="637" spans="1:12" ht="21.95" customHeight="1">
      <c r="A637" s="1">
        <v>635</v>
      </c>
      <c r="B637" s="2" t="str">
        <f>"向清清"</f>
        <v>向清清</v>
      </c>
      <c r="C637" s="2" t="str">
        <f t="shared" si="37"/>
        <v>女</v>
      </c>
      <c r="D637" s="2" t="s">
        <v>15</v>
      </c>
      <c r="E637" s="2" t="s">
        <v>14</v>
      </c>
      <c r="F637" s="2" t="str">
        <f t="shared" si="38"/>
        <v>E2024024</v>
      </c>
      <c r="G637" s="2" t="s">
        <v>673</v>
      </c>
      <c r="H637" s="6" t="s">
        <v>63</v>
      </c>
      <c r="I637" s="6" t="s">
        <v>38</v>
      </c>
      <c r="J637" s="15"/>
      <c r="K637" s="13"/>
      <c r="L637" s="3" t="s">
        <v>831</v>
      </c>
    </row>
    <row r="638" spans="1:12" ht="21.95" customHeight="1">
      <c r="A638" s="1">
        <v>636</v>
      </c>
      <c r="B638" s="2" t="str">
        <f>"黄覃雪"</f>
        <v>黄覃雪</v>
      </c>
      <c r="C638" s="2" t="str">
        <f t="shared" si="37"/>
        <v>女</v>
      </c>
      <c r="D638" s="2" t="s">
        <v>15</v>
      </c>
      <c r="E638" s="2" t="s">
        <v>14</v>
      </c>
      <c r="F638" s="2" t="str">
        <f t="shared" si="38"/>
        <v>E2024024</v>
      </c>
      <c r="G638" s="2" t="s">
        <v>674</v>
      </c>
      <c r="H638" s="6" t="s">
        <v>63</v>
      </c>
      <c r="I638" s="6" t="s">
        <v>60</v>
      </c>
      <c r="J638" s="15"/>
      <c r="K638" s="13"/>
      <c r="L638" s="3" t="s">
        <v>831</v>
      </c>
    </row>
    <row r="639" spans="1:12" ht="21.95" customHeight="1">
      <c r="A639" s="1">
        <v>637</v>
      </c>
      <c r="B639" s="2" t="str">
        <f>"李欣"</f>
        <v>李欣</v>
      </c>
      <c r="C639" s="2" t="str">
        <f t="shared" si="37"/>
        <v>女</v>
      </c>
      <c r="D639" s="2" t="s">
        <v>15</v>
      </c>
      <c r="E639" s="2" t="s">
        <v>14</v>
      </c>
      <c r="F639" s="2" t="str">
        <f t="shared" si="38"/>
        <v>E2024024</v>
      </c>
      <c r="G639" s="2" t="s">
        <v>680</v>
      </c>
      <c r="H639" s="6" t="s">
        <v>63</v>
      </c>
      <c r="I639" s="6" t="s">
        <v>63</v>
      </c>
      <c r="J639" s="15"/>
      <c r="K639" s="13"/>
      <c r="L639" s="3" t="s">
        <v>831</v>
      </c>
    </row>
    <row r="640" spans="1:12" ht="21.95" customHeight="1">
      <c r="A640" s="1">
        <v>638</v>
      </c>
      <c r="B640" s="2" t="str">
        <f>"龚钰茜"</f>
        <v>龚钰茜</v>
      </c>
      <c r="C640" s="2" t="str">
        <f t="shared" si="37"/>
        <v>女</v>
      </c>
      <c r="D640" s="2" t="s">
        <v>15</v>
      </c>
      <c r="E640" s="2" t="s">
        <v>14</v>
      </c>
      <c r="F640" s="2" t="str">
        <f t="shared" si="38"/>
        <v>E2024024</v>
      </c>
      <c r="G640" s="2" t="s">
        <v>681</v>
      </c>
      <c r="H640" s="6" t="s">
        <v>63</v>
      </c>
      <c r="I640" s="6" t="s">
        <v>46</v>
      </c>
      <c r="J640" s="15"/>
      <c r="K640" s="13"/>
      <c r="L640" s="3" t="s">
        <v>831</v>
      </c>
    </row>
    <row r="641" spans="1:12" ht="21.95" customHeight="1">
      <c r="A641" s="1">
        <v>639</v>
      </c>
      <c r="B641" s="2" t="str">
        <f>"唐寰"</f>
        <v>唐寰</v>
      </c>
      <c r="C641" s="2" t="str">
        <f t="shared" si="37"/>
        <v>女</v>
      </c>
      <c r="D641" s="2" t="s">
        <v>15</v>
      </c>
      <c r="E641" s="2" t="s">
        <v>14</v>
      </c>
      <c r="F641" s="2" t="str">
        <f t="shared" si="38"/>
        <v>E2024024</v>
      </c>
      <c r="G641" s="2" t="s">
        <v>682</v>
      </c>
      <c r="H641" s="6" t="s">
        <v>63</v>
      </c>
      <c r="I641" s="6" t="s">
        <v>64</v>
      </c>
      <c r="J641" s="15"/>
      <c r="K641" s="13"/>
      <c r="L641" s="3" t="s">
        <v>831</v>
      </c>
    </row>
    <row r="642" spans="1:12" ht="21.95" customHeight="1">
      <c r="A642" s="1">
        <v>640</v>
      </c>
      <c r="B642" s="2" t="str">
        <f>"徐夏琼"</f>
        <v>徐夏琼</v>
      </c>
      <c r="C642" s="2" t="str">
        <f t="shared" si="37"/>
        <v>女</v>
      </c>
      <c r="D642" s="2" t="s">
        <v>15</v>
      </c>
      <c r="E642" s="2" t="s">
        <v>14</v>
      </c>
      <c r="F642" s="2" t="str">
        <f t="shared" si="38"/>
        <v>E2024024</v>
      </c>
      <c r="G642" s="2" t="s">
        <v>683</v>
      </c>
      <c r="H642" s="6" t="s">
        <v>63</v>
      </c>
      <c r="I642" s="6" t="s">
        <v>48</v>
      </c>
      <c r="J642" s="15"/>
      <c r="K642" s="13"/>
      <c r="L642" s="3" t="s">
        <v>831</v>
      </c>
    </row>
    <row r="643" spans="1:12" ht="21.95" customHeight="1">
      <c r="A643" s="1">
        <v>641</v>
      </c>
      <c r="B643" s="2" t="str">
        <f>"周晓鸿"</f>
        <v>周晓鸿</v>
      </c>
      <c r="C643" s="2" t="str">
        <f t="shared" si="37"/>
        <v>女</v>
      </c>
      <c r="D643" s="2" t="s">
        <v>15</v>
      </c>
      <c r="E643" s="2" t="s">
        <v>14</v>
      </c>
      <c r="F643" s="2" t="str">
        <f t="shared" si="38"/>
        <v>E2024024</v>
      </c>
      <c r="G643" s="2" t="s">
        <v>684</v>
      </c>
      <c r="H643" s="6" t="s">
        <v>63</v>
      </c>
      <c r="I643" s="6" t="s">
        <v>65</v>
      </c>
      <c r="J643" s="15"/>
      <c r="K643" s="13"/>
      <c r="L643" s="3" t="s">
        <v>831</v>
      </c>
    </row>
    <row r="644" spans="1:12" ht="21.95" customHeight="1">
      <c r="A644" s="1">
        <v>642</v>
      </c>
      <c r="B644" s="2" t="str">
        <f>"黄燕伍"</f>
        <v>黄燕伍</v>
      </c>
      <c r="C644" s="2" t="str">
        <f t="shared" si="37"/>
        <v>女</v>
      </c>
      <c r="D644" s="2" t="s">
        <v>15</v>
      </c>
      <c r="E644" s="2" t="s">
        <v>14</v>
      </c>
      <c r="F644" s="2" t="str">
        <f t="shared" si="38"/>
        <v>E2024024</v>
      </c>
      <c r="G644" s="2" t="s">
        <v>685</v>
      </c>
      <c r="H644" s="6" t="s">
        <v>63</v>
      </c>
      <c r="I644" s="6" t="s">
        <v>50</v>
      </c>
      <c r="J644" s="15"/>
      <c r="K644" s="13"/>
      <c r="L644" s="3" t="s">
        <v>831</v>
      </c>
    </row>
    <row r="645" spans="1:12" ht="21.95" customHeight="1">
      <c r="A645" s="1">
        <v>643</v>
      </c>
      <c r="B645" s="2" t="str">
        <f>"陈礼双"</f>
        <v>陈礼双</v>
      </c>
      <c r="C645" s="2" t="str">
        <f t="shared" si="37"/>
        <v>女</v>
      </c>
      <c r="D645" s="2" t="s">
        <v>15</v>
      </c>
      <c r="E645" s="2" t="s">
        <v>14</v>
      </c>
      <c r="F645" s="2" t="str">
        <f t="shared" si="38"/>
        <v>E2024024</v>
      </c>
      <c r="G645" s="2" t="s">
        <v>687</v>
      </c>
      <c r="H645" s="6" t="s">
        <v>63</v>
      </c>
      <c r="I645" s="6" t="s">
        <v>52</v>
      </c>
      <c r="J645" s="15"/>
      <c r="K645" s="13"/>
      <c r="L645" s="3" t="s">
        <v>831</v>
      </c>
    </row>
    <row r="646" spans="1:12" ht="21.95" customHeight="1">
      <c r="A646" s="1">
        <v>644</v>
      </c>
      <c r="B646" s="2" t="str">
        <f>"姚俊一"</f>
        <v>姚俊一</v>
      </c>
      <c r="C646" s="2" t="str">
        <f t="shared" si="37"/>
        <v>女</v>
      </c>
      <c r="D646" s="2" t="s">
        <v>15</v>
      </c>
      <c r="E646" s="2" t="s">
        <v>14</v>
      </c>
      <c r="F646" s="2" t="str">
        <f t="shared" si="38"/>
        <v>E2024024</v>
      </c>
      <c r="G646" s="2" t="s">
        <v>688</v>
      </c>
      <c r="H646" s="6" t="s">
        <v>63</v>
      </c>
      <c r="I646" s="6" t="s">
        <v>67</v>
      </c>
      <c r="J646" s="15"/>
      <c r="K646" s="13"/>
      <c r="L646" s="3" t="s">
        <v>831</v>
      </c>
    </row>
    <row r="647" spans="1:12" ht="21.95" customHeight="1">
      <c r="A647" s="1">
        <v>645</v>
      </c>
      <c r="B647" s="2" t="str">
        <f>"林君"</f>
        <v>林君</v>
      </c>
      <c r="C647" s="2" t="str">
        <f t="shared" si="37"/>
        <v>女</v>
      </c>
      <c r="D647" s="2" t="s">
        <v>15</v>
      </c>
      <c r="E647" s="2" t="s">
        <v>14</v>
      </c>
      <c r="F647" s="2" t="str">
        <f t="shared" si="38"/>
        <v>E2024024</v>
      </c>
      <c r="G647" s="2" t="s">
        <v>690</v>
      </c>
      <c r="H647" s="6" t="s">
        <v>94</v>
      </c>
      <c r="I647" s="6" t="s">
        <v>72</v>
      </c>
      <c r="J647" s="15"/>
      <c r="K647" s="13"/>
      <c r="L647" s="3" t="s">
        <v>831</v>
      </c>
    </row>
    <row r="648" spans="1:12" ht="21.95" customHeight="1">
      <c r="A648" s="1">
        <v>646</v>
      </c>
      <c r="B648" s="2" t="str">
        <f>"贾晶鑫"</f>
        <v>贾晶鑫</v>
      </c>
      <c r="C648" s="2" t="str">
        <f t="shared" si="37"/>
        <v>女</v>
      </c>
      <c r="D648" s="2" t="s">
        <v>15</v>
      </c>
      <c r="E648" s="2" t="s">
        <v>14</v>
      </c>
      <c r="F648" s="2" t="str">
        <f t="shared" si="38"/>
        <v>E2024024</v>
      </c>
      <c r="G648" s="2" t="s">
        <v>691</v>
      </c>
      <c r="H648" s="6" t="s">
        <v>95</v>
      </c>
      <c r="I648" s="6" t="s">
        <v>26</v>
      </c>
      <c r="J648" s="15"/>
      <c r="K648" s="13"/>
      <c r="L648" s="3" t="s">
        <v>831</v>
      </c>
    </row>
    <row r="649" spans="1:12" ht="21.95" customHeight="1">
      <c r="A649" s="1">
        <v>647</v>
      </c>
      <c r="B649" s="2" t="str">
        <f>"谭旭"</f>
        <v>谭旭</v>
      </c>
      <c r="C649" s="2" t="str">
        <f t="shared" si="37"/>
        <v>女</v>
      </c>
      <c r="D649" s="2" t="s">
        <v>15</v>
      </c>
      <c r="E649" s="2" t="s">
        <v>14</v>
      </c>
      <c r="F649" s="2" t="str">
        <f t="shared" si="38"/>
        <v>E2024024</v>
      </c>
      <c r="G649" s="2" t="s">
        <v>692</v>
      </c>
      <c r="H649" s="6" t="s">
        <v>95</v>
      </c>
      <c r="I649" s="6" t="s">
        <v>54</v>
      </c>
      <c r="J649" s="15"/>
      <c r="K649" s="13"/>
      <c r="L649" s="3" t="s">
        <v>831</v>
      </c>
    </row>
    <row r="650" spans="1:12" ht="21.95" customHeight="1">
      <c r="A650" s="1">
        <v>648</v>
      </c>
      <c r="B650" s="2" t="str">
        <f>"黄萍"</f>
        <v>黄萍</v>
      </c>
      <c r="C650" s="2" t="str">
        <f t="shared" si="37"/>
        <v>女</v>
      </c>
      <c r="D650" s="2" t="s">
        <v>15</v>
      </c>
      <c r="E650" s="2" t="s">
        <v>14</v>
      </c>
      <c r="F650" s="2" t="str">
        <f t="shared" si="38"/>
        <v>E2024024</v>
      </c>
      <c r="G650" s="2" t="s">
        <v>694</v>
      </c>
      <c r="H650" s="6" t="s">
        <v>46</v>
      </c>
      <c r="I650" s="6" t="s">
        <v>55</v>
      </c>
      <c r="J650" s="15"/>
      <c r="K650" s="13"/>
      <c r="L650" s="3" t="s">
        <v>831</v>
      </c>
    </row>
    <row r="651" spans="1:12" ht="21.95" customHeight="1">
      <c r="A651" s="1">
        <v>649</v>
      </c>
      <c r="B651" s="2" t="str">
        <f>"杨玉琦"</f>
        <v>杨玉琦</v>
      </c>
      <c r="C651" s="2" t="str">
        <f t="shared" si="37"/>
        <v>女</v>
      </c>
      <c r="D651" s="2" t="s">
        <v>15</v>
      </c>
      <c r="E651" s="2" t="s">
        <v>14</v>
      </c>
      <c r="F651" s="2" t="str">
        <f t="shared" si="38"/>
        <v>E2024024</v>
      </c>
      <c r="G651" s="2" t="s">
        <v>697</v>
      </c>
      <c r="H651" s="6" t="s">
        <v>46</v>
      </c>
      <c r="I651" s="6" t="s">
        <v>32</v>
      </c>
      <c r="J651" s="15"/>
      <c r="K651" s="13"/>
      <c r="L651" s="3" t="s">
        <v>831</v>
      </c>
    </row>
    <row r="652" spans="1:12" ht="21.95" customHeight="1">
      <c r="A652" s="1">
        <v>650</v>
      </c>
      <c r="B652" s="2" t="str">
        <f>"刘晓庆"</f>
        <v>刘晓庆</v>
      </c>
      <c r="C652" s="2" t="str">
        <f t="shared" si="37"/>
        <v>女</v>
      </c>
      <c r="D652" s="2" t="s">
        <v>15</v>
      </c>
      <c r="E652" s="2" t="s">
        <v>14</v>
      </c>
      <c r="F652" s="2" t="str">
        <f t="shared" si="38"/>
        <v>E2024024</v>
      </c>
      <c r="G652" s="2" t="s">
        <v>698</v>
      </c>
      <c r="H652" s="6" t="s">
        <v>46</v>
      </c>
      <c r="I652" s="6" t="s">
        <v>57</v>
      </c>
      <c r="J652" s="15"/>
      <c r="K652" s="13"/>
      <c r="L652" s="3" t="s">
        <v>831</v>
      </c>
    </row>
    <row r="653" spans="1:12" ht="21.95" customHeight="1">
      <c r="A653" s="1">
        <v>651</v>
      </c>
      <c r="B653" s="2" t="str">
        <f>"李开贤"</f>
        <v>李开贤</v>
      </c>
      <c r="C653" s="2" t="str">
        <f>"男"</f>
        <v>男</v>
      </c>
      <c r="D653" s="2" t="s">
        <v>15</v>
      </c>
      <c r="E653" s="2" t="s">
        <v>14</v>
      </c>
      <c r="F653" s="2" t="str">
        <f t="shared" si="38"/>
        <v>E2024024</v>
      </c>
      <c r="G653" s="2" t="s">
        <v>699</v>
      </c>
      <c r="H653" s="6" t="s">
        <v>46</v>
      </c>
      <c r="I653" s="6" t="s">
        <v>34</v>
      </c>
      <c r="J653" s="15"/>
      <c r="K653" s="13"/>
      <c r="L653" s="3" t="s">
        <v>831</v>
      </c>
    </row>
    <row r="654" spans="1:12" ht="21.95" customHeight="1">
      <c r="A654" s="1">
        <v>652</v>
      </c>
      <c r="B654" s="2" t="str">
        <f>"张璐"</f>
        <v>张璐</v>
      </c>
      <c r="C654" s="2" t="str">
        <f t="shared" ref="C654:C662" si="39">"女"</f>
        <v>女</v>
      </c>
      <c r="D654" s="2" t="s">
        <v>15</v>
      </c>
      <c r="E654" s="2" t="s">
        <v>14</v>
      </c>
      <c r="F654" s="2" t="str">
        <f t="shared" si="38"/>
        <v>E2024024</v>
      </c>
      <c r="G654" s="2" t="s">
        <v>700</v>
      </c>
      <c r="H654" s="6" t="s">
        <v>46</v>
      </c>
      <c r="I654" s="6" t="s">
        <v>58</v>
      </c>
      <c r="J654" s="15"/>
      <c r="K654" s="13"/>
      <c r="L654" s="3" t="s">
        <v>831</v>
      </c>
    </row>
    <row r="655" spans="1:12" ht="21.95" customHeight="1">
      <c r="A655" s="1">
        <v>653</v>
      </c>
      <c r="B655" s="2" t="str">
        <f>"向征"</f>
        <v>向征</v>
      </c>
      <c r="C655" s="2" t="str">
        <f t="shared" si="39"/>
        <v>女</v>
      </c>
      <c r="D655" s="2" t="s">
        <v>15</v>
      </c>
      <c r="E655" s="2" t="s">
        <v>14</v>
      </c>
      <c r="F655" s="2" t="str">
        <f t="shared" si="38"/>
        <v>E2024024</v>
      </c>
      <c r="G655" s="2" t="s">
        <v>706</v>
      </c>
      <c r="H655" s="6" t="s">
        <v>46</v>
      </c>
      <c r="I655" s="6" t="s">
        <v>61</v>
      </c>
      <c r="J655" s="15"/>
      <c r="K655" s="13"/>
      <c r="L655" s="3" t="s">
        <v>831</v>
      </c>
    </row>
    <row r="656" spans="1:12" ht="21.95" customHeight="1">
      <c r="A656" s="1">
        <v>654</v>
      </c>
      <c r="B656" s="2" t="str">
        <f>"白富君"</f>
        <v>白富君</v>
      </c>
      <c r="C656" s="2" t="str">
        <f t="shared" si="39"/>
        <v>女</v>
      </c>
      <c r="D656" s="2" t="s">
        <v>15</v>
      </c>
      <c r="E656" s="2" t="s">
        <v>14</v>
      </c>
      <c r="F656" s="2" t="str">
        <f t="shared" si="38"/>
        <v>E2024024</v>
      </c>
      <c r="G656" s="2" t="s">
        <v>709</v>
      </c>
      <c r="H656" s="6" t="s">
        <v>46</v>
      </c>
      <c r="I656" s="6" t="s">
        <v>44</v>
      </c>
      <c r="J656" s="15"/>
      <c r="K656" s="13"/>
      <c r="L656" s="3" t="s">
        <v>831</v>
      </c>
    </row>
    <row r="657" spans="1:12" ht="21.95" customHeight="1">
      <c r="A657" s="1">
        <v>655</v>
      </c>
      <c r="B657" s="2" t="str">
        <f>"严冬嵬"</f>
        <v>严冬嵬</v>
      </c>
      <c r="C657" s="2" t="str">
        <f t="shared" si="39"/>
        <v>女</v>
      </c>
      <c r="D657" s="2" t="s">
        <v>15</v>
      </c>
      <c r="E657" s="2" t="s">
        <v>14</v>
      </c>
      <c r="F657" s="2" t="str">
        <f t="shared" si="38"/>
        <v>E2024024</v>
      </c>
      <c r="G657" s="2" t="s">
        <v>710</v>
      </c>
      <c r="H657" s="6" t="s">
        <v>46</v>
      </c>
      <c r="I657" s="6" t="s">
        <v>63</v>
      </c>
      <c r="J657" s="15"/>
      <c r="K657" s="13"/>
      <c r="L657" s="3" t="s">
        <v>831</v>
      </c>
    </row>
    <row r="658" spans="1:12" ht="21.95" customHeight="1">
      <c r="A658" s="1">
        <v>656</v>
      </c>
      <c r="B658" s="2" t="str">
        <f>"向雪丽"</f>
        <v>向雪丽</v>
      </c>
      <c r="C658" s="2" t="str">
        <f t="shared" si="39"/>
        <v>女</v>
      </c>
      <c r="D658" s="2" t="s">
        <v>15</v>
      </c>
      <c r="E658" s="2" t="s">
        <v>14</v>
      </c>
      <c r="F658" s="2" t="str">
        <f t="shared" si="38"/>
        <v>E2024024</v>
      </c>
      <c r="G658" s="2" t="s">
        <v>712</v>
      </c>
      <c r="H658" s="6" t="s">
        <v>46</v>
      </c>
      <c r="I658" s="6" t="s">
        <v>64</v>
      </c>
      <c r="J658" s="15"/>
      <c r="K658" s="13"/>
      <c r="L658" s="3" t="s">
        <v>831</v>
      </c>
    </row>
    <row r="659" spans="1:12" ht="21.95" customHeight="1">
      <c r="A659" s="1">
        <v>657</v>
      </c>
      <c r="B659" s="2" t="str">
        <f>"田丽玲"</f>
        <v>田丽玲</v>
      </c>
      <c r="C659" s="2" t="str">
        <f t="shared" si="39"/>
        <v>女</v>
      </c>
      <c r="D659" s="2" t="s">
        <v>15</v>
      </c>
      <c r="E659" s="2" t="s">
        <v>14</v>
      </c>
      <c r="F659" s="2" t="str">
        <f t="shared" si="38"/>
        <v>E2024024</v>
      </c>
      <c r="G659" s="2" t="s">
        <v>717</v>
      </c>
      <c r="H659" s="6" t="s">
        <v>46</v>
      </c>
      <c r="I659" s="6" t="s">
        <v>52</v>
      </c>
      <c r="J659" s="15"/>
      <c r="K659" s="13"/>
      <c r="L659" s="3" t="s">
        <v>831</v>
      </c>
    </row>
    <row r="660" spans="1:12" ht="21.95" customHeight="1">
      <c r="A660" s="1">
        <v>658</v>
      </c>
      <c r="B660" s="2" t="str">
        <f>"谭金"</f>
        <v>谭金</v>
      </c>
      <c r="C660" s="2" t="str">
        <f t="shared" si="39"/>
        <v>女</v>
      </c>
      <c r="D660" s="2" t="s">
        <v>15</v>
      </c>
      <c r="E660" s="2" t="s">
        <v>14</v>
      </c>
      <c r="F660" s="2" t="str">
        <f t="shared" si="38"/>
        <v>E2024024</v>
      </c>
      <c r="G660" s="2" t="s">
        <v>719</v>
      </c>
      <c r="H660" s="6" t="s">
        <v>46</v>
      </c>
      <c r="I660" s="6" t="s">
        <v>71</v>
      </c>
      <c r="J660" s="15"/>
      <c r="K660" s="13"/>
      <c r="L660" s="3" t="s">
        <v>831</v>
      </c>
    </row>
    <row r="661" spans="1:12" ht="21.95" customHeight="1">
      <c r="A661" s="1">
        <v>659</v>
      </c>
      <c r="B661" s="2" t="str">
        <f>"陈思玉"</f>
        <v>陈思玉</v>
      </c>
      <c r="C661" s="2" t="str">
        <f t="shared" si="39"/>
        <v>女</v>
      </c>
      <c r="D661" s="2" t="s">
        <v>15</v>
      </c>
      <c r="E661" s="2" t="s">
        <v>14</v>
      </c>
      <c r="F661" s="2" t="str">
        <f t="shared" ref="F661:F692" si="40">"E2024024"</f>
        <v>E2024024</v>
      </c>
      <c r="G661" s="2" t="s">
        <v>720</v>
      </c>
      <c r="H661" s="6" t="s">
        <v>46</v>
      </c>
      <c r="I661" s="6" t="s">
        <v>72</v>
      </c>
      <c r="J661" s="15"/>
      <c r="K661" s="13"/>
      <c r="L661" s="3" t="s">
        <v>831</v>
      </c>
    </row>
    <row r="662" spans="1:12" ht="21.95" customHeight="1">
      <c r="A662" s="1">
        <v>660</v>
      </c>
      <c r="B662" s="2" t="str">
        <f>"郑玉雯"</f>
        <v>郑玉雯</v>
      </c>
      <c r="C662" s="2" t="str">
        <f t="shared" si="39"/>
        <v>女</v>
      </c>
      <c r="D662" s="2" t="s">
        <v>15</v>
      </c>
      <c r="E662" s="2" t="s">
        <v>14</v>
      </c>
      <c r="F662" s="2" t="str">
        <f t="shared" si="40"/>
        <v>E2024024</v>
      </c>
      <c r="G662" s="2" t="s">
        <v>723</v>
      </c>
      <c r="H662" s="6" t="s">
        <v>64</v>
      </c>
      <c r="I662" s="6" t="s">
        <v>28</v>
      </c>
      <c r="J662" s="15"/>
      <c r="K662" s="13"/>
      <c r="L662" s="3" t="s">
        <v>831</v>
      </c>
    </row>
    <row r="663" spans="1:12" ht="21.95" customHeight="1">
      <c r="A663" s="1">
        <v>661</v>
      </c>
      <c r="B663" s="2" t="str">
        <f>"马列秦"</f>
        <v>马列秦</v>
      </c>
      <c r="C663" s="2" t="str">
        <f>"男"</f>
        <v>男</v>
      </c>
      <c r="D663" s="2" t="s">
        <v>15</v>
      </c>
      <c r="E663" s="2" t="s">
        <v>14</v>
      </c>
      <c r="F663" s="2" t="str">
        <f t="shared" si="40"/>
        <v>E2024024</v>
      </c>
      <c r="G663" s="2" t="s">
        <v>728</v>
      </c>
      <c r="H663" s="6" t="s">
        <v>64</v>
      </c>
      <c r="I663" s="6" t="s">
        <v>57</v>
      </c>
      <c r="J663" s="15"/>
      <c r="K663" s="13"/>
      <c r="L663" s="3" t="s">
        <v>831</v>
      </c>
    </row>
    <row r="664" spans="1:12" ht="21.95" customHeight="1">
      <c r="A664" s="1">
        <v>662</v>
      </c>
      <c r="B664" s="2" t="str">
        <f>"谭诚"</f>
        <v>谭诚</v>
      </c>
      <c r="C664" s="2" t="str">
        <f>"女"</f>
        <v>女</v>
      </c>
      <c r="D664" s="2" t="s">
        <v>15</v>
      </c>
      <c r="E664" s="2" t="s">
        <v>14</v>
      </c>
      <c r="F664" s="2" t="str">
        <f t="shared" si="40"/>
        <v>E2024024</v>
      </c>
      <c r="G664" s="2" t="s">
        <v>729</v>
      </c>
      <c r="H664" s="6" t="s">
        <v>64</v>
      </c>
      <c r="I664" s="6" t="s">
        <v>34</v>
      </c>
      <c r="J664" s="15"/>
      <c r="K664" s="13"/>
      <c r="L664" s="3" t="s">
        <v>831</v>
      </c>
    </row>
    <row r="665" spans="1:12" ht="21.95" customHeight="1">
      <c r="A665" s="1">
        <v>663</v>
      </c>
      <c r="B665" s="2" t="str">
        <f>"黄舒平"</f>
        <v>黄舒平</v>
      </c>
      <c r="C665" s="2" t="str">
        <f>"女"</f>
        <v>女</v>
      </c>
      <c r="D665" s="2" t="s">
        <v>15</v>
      </c>
      <c r="E665" s="2" t="s">
        <v>14</v>
      </c>
      <c r="F665" s="2" t="str">
        <f t="shared" si="40"/>
        <v>E2024024</v>
      </c>
      <c r="G665" s="2" t="s">
        <v>733</v>
      </c>
      <c r="H665" s="6" t="s">
        <v>64</v>
      </c>
      <c r="I665" s="6" t="s">
        <v>38</v>
      </c>
      <c r="J665" s="15"/>
      <c r="K665" s="13"/>
      <c r="L665" s="3" t="s">
        <v>831</v>
      </c>
    </row>
    <row r="666" spans="1:12" ht="21.95" customHeight="1">
      <c r="A666" s="1">
        <v>664</v>
      </c>
      <c r="B666" s="2" t="str">
        <f>"雷彩玉"</f>
        <v>雷彩玉</v>
      </c>
      <c r="C666" s="2" t="str">
        <f>"女"</f>
        <v>女</v>
      </c>
      <c r="D666" s="2" t="s">
        <v>15</v>
      </c>
      <c r="E666" s="2" t="s">
        <v>14</v>
      </c>
      <c r="F666" s="2" t="str">
        <f t="shared" si="40"/>
        <v>E2024024</v>
      </c>
      <c r="G666" s="2" t="s">
        <v>734</v>
      </c>
      <c r="H666" s="6" t="s">
        <v>64</v>
      </c>
      <c r="I666" s="6" t="s">
        <v>60</v>
      </c>
      <c r="J666" s="15"/>
      <c r="K666" s="13"/>
      <c r="L666" s="3" t="s">
        <v>831</v>
      </c>
    </row>
    <row r="667" spans="1:12" ht="21.95" customHeight="1">
      <c r="A667" s="1">
        <v>665</v>
      </c>
      <c r="B667" s="2" t="str">
        <f>"罗天锡"</f>
        <v>罗天锡</v>
      </c>
      <c r="C667" s="2" t="str">
        <f>"男"</f>
        <v>男</v>
      </c>
      <c r="D667" s="2" t="s">
        <v>15</v>
      </c>
      <c r="E667" s="2" t="s">
        <v>14</v>
      </c>
      <c r="F667" s="2" t="str">
        <f t="shared" si="40"/>
        <v>E2024024</v>
      </c>
      <c r="G667" s="2" t="s">
        <v>736</v>
      </c>
      <c r="H667" s="6" t="s">
        <v>64</v>
      </c>
      <c r="I667" s="6" t="s">
        <v>61</v>
      </c>
      <c r="J667" s="15"/>
      <c r="K667" s="13"/>
      <c r="L667" s="3" t="s">
        <v>831</v>
      </c>
    </row>
    <row r="668" spans="1:12" ht="21.95" customHeight="1">
      <c r="A668" s="1">
        <v>666</v>
      </c>
      <c r="B668" s="2" t="str">
        <f>"朱煜"</f>
        <v>朱煜</v>
      </c>
      <c r="C668" s="2" t="str">
        <f t="shared" ref="C668:C673" si="41">"女"</f>
        <v>女</v>
      </c>
      <c r="D668" s="2" t="s">
        <v>15</v>
      </c>
      <c r="E668" s="2" t="s">
        <v>14</v>
      </c>
      <c r="F668" s="2" t="str">
        <f t="shared" si="40"/>
        <v>E2024024</v>
      </c>
      <c r="G668" s="2" t="s">
        <v>737</v>
      </c>
      <c r="H668" s="6" t="s">
        <v>64</v>
      </c>
      <c r="I668" s="6" t="s">
        <v>42</v>
      </c>
      <c r="J668" s="15"/>
      <c r="K668" s="13"/>
      <c r="L668" s="3" t="s">
        <v>831</v>
      </c>
    </row>
    <row r="669" spans="1:12" ht="21.95" customHeight="1">
      <c r="A669" s="1">
        <v>667</v>
      </c>
      <c r="B669" s="2" t="str">
        <f>"邢俊韵"</f>
        <v>邢俊韵</v>
      </c>
      <c r="C669" s="2" t="str">
        <f t="shared" si="41"/>
        <v>女</v>
      </c>
      <c r="D669" s="2" t="s">
        <v>15</v>
      </c>
      <c r="E669" s="2" t="s">
        <v>14</v>
      </c>
      <c r="F669" s="2" t="str">
        <f t="shared" si="40"/>
        <v>E2024024</v>
      </c>
      <c r="G669" s="2" t="s">
        <v>738</v>
      </c>
      <c r="H669" s="6" t="s">
        <v>64</v>
      </c>
      <c r="I669" s="6" t="s">
        <v>62</v>
      </c>
      <c r="J669" s="15"/>
      <c r="K669" s="13"/>
      <c r="L669" s="3" t="s">
        <v>831</v>
      </c>
    </row>
    <row r="670" spans="1:12" ht="21.95" customHeight="1">
      <c r="A670" s="1">
        <v>668</v>
      </c>
      <c r="B670" s="2" t="str">
        <f>"谢春阳"</f>
        <v>谢春阳</v>
      </c>
      <c r="C670" s="2" t="str">
        <f t="shared" si="41"/>
        <v>女</v>
      </c>
      <c r="D670" s="2" t="s">
        <v>15</v>
      </c>
      <c r="E670" s="2" t="s">
        <v>14</v>
      </c>
      <c r="F670" s="2" t="str">
        <f t="shared" si="40"/>
        <v>E2024024</v>
      </c>
      <c r="G670" s="2" t="s">
        <v>739</v>
      </c>
      <c r="H670" s="6" t="s">
        <v>64</v>
      </c>
      <c r="I670" s="6" t="s">
        <v>44</v>
      </c>
      <c r="J670" s="15"/>
      <c r="K670" s="13"/>
      <c r="L670" s="3" t="s">
        <v>831</v>
      </c>
    </row>
    <row r="671" spans="1:12" ht="21.95" customHeight="1">
      <c r="A671" s="1">
        <v>669</v>
      </c>
      <c r="B671" s="2" t="str">
        <f>"王世菊"</f>
        <v>王世菊</v>
      </c>
      <c r="C671" s="2" t="str">
        <f t="shared" si="41"/>
        <v>女</v>
      </c>
      <c r="D671" s="2" t="s">
        <v>15</v>
      </c>
      <c r="E671" s="2" t="s">
        <v>14</v>
      </c>
      <c r="F671" s="2" t="str">
        <f t="shared" si="40"/>
        <v>E2024024</v>
      </c>
      <c r="G671" s="2" t="s">
        <v>741</v>
      </c>
      <c r="H671" s="6" t="s">
        <v>64</v>
      </c>
      <c r="I671" s="6" t="s">
        <v>46</v>
      </c>
      <c r="J671" s="15"/>
      <c r="K671" s="13"/>
      <c r="L671" s="3" t="s">
        <v>831</v>
      </c>
    </row>
    <row r="672" spans="1:12" ht="21.95" customHeight="1">
      <c r="A672" s="1">
        <v>670</v>
      </c>
      <c r="B672" s="2" t="str">
        <f>"朱渝"</f>
        <v>朱渝</v>
      </c>
      <c r="C672" s="2" t="str">
        <f t="shared" si="41"/>
        <v>女</v>
      </c>
      <c r="D672" s="2" t="s">
        <v>15</v>
      </c>
      <c r="E672" s="2" t="s">
        <v>14</v>
      </c>
      <c r="F672" s="2" t="str">
        <f t="shared" si="40"/>
        <v>E2024024</v>
      </c>
      <c r="G672" s="2" t="s">
        <v>742</v>
      </c>
      <c r="H672" s="6" t="s">
        <v>64</v>
      </c>
      <c r="I672" s="6" t="s">
        <v>64</v>
      </c>
      <c r="J672" s="15"/>
      <c r="K672" s="13"/>
      <c r="L672" s="3" t="s">
        <v>831</v>
      </c>
    </row>
    <row r="673" spans="1:12" ht="21.95" customHeight="1">
      <c r="A673" s="1">
        <v>671</v>
      </c>
      <c r="B673" s="2" t="str">
        <f>"黄笑笑"</f>
        <v>黄笑笑</v>
      </c>
      <c r="C673" s="2" t="str">
        <f t="shared" si="41"/>
        <v>女</v>
      </c>
      <c r="D673" s="2" t="s">
        <v>15</v>
      </c>
      <c r="E673" s="2" t="s">
        <v>14</v>
      </c>
      <c r="F673" s="2" t="str">
        <f t="shared" si="40"/>
        <v>E2024024</v>
      </c>
      <c r="G673" s="2" t="s">
        <v>743</v>
      </c>
      <c r="H673" s="6" t="s">
        <v>64</v>
      </c>
      <c r="I673" s="6" t="s">
        <v>48</v>
      </c>
      <c r="J673" s="15"/>
      <c r="K673" s="13"/>
      <c r="L673" s="3" t="s">
        <v>831</v>
      </c>
    </row>
    <row r="674" spans="1:12" ht="21.95" customHeight="1">
      <c r="A674" s="1">
        <v>672</v>
      </c>
      <c r="B674" s="2" t="str">
        <f>"杨航"</f>
        <v>杨航</v>
      </c>
      <c r="C674" s="2" t="str">
        <f>"男"</f>
        <v>男</v>
      </c>
      <c r="D674" s="2" t="s">
        <v>15</v>
      </c>
      <c r="E674" s="2" t="s">
        <v>14</v>
      </c>
      <c r="F674" s="2" t="str">
        <f t="shared" si="40"/>
        <v>E2024024</v>
      </c>
      <c r="G674" s="2" t="s">
        <v>744</v>
      </c>
      <c r="H674" s="6" t="s">
        <v>64</v>
      </c>
      <c r="I674" s="6" t="s">
        <v>65</v>
      </c>
      <c r="J674" s="15"/>
      <c r="K674" s="13"/>
      <c r="L674" s="3" t="s">
        <v>831</v>
      </c>
    </row>
    <row r="675" spans="1:12" ht="21.95" customHeight="1">
      <c r="A675" s="1">
        <v>673</v>
      </c>
      <c r="B675" s="2" t="str">
        <f>"覃锦韬"</f>
        <v>覃锦韬</v>
      </c>
      <c r="C675" s="2" t="str">
        <f>"男"</f>
        <v>男</v>
      </c>
      <c r="D675" s="2" t="s">
        <v>15</v>
      </c>
      <c r="E675" s="2" t="s">
        <v>14</v>
      </c>
      <c r="F675" s="2" t="str">
        <f t="shared" si="40"/>
        <v>E2024024</v>
      </c>
      <c r="G675" s="2" t="s">
        <v>746</v>
      </c>
      <c r="H675" s="6" t="s">
        <v>64</v>
      </c>
      <c r="I675" s="6" t="s">
        <v>66</v>
      </c>
      <c r="J675" s="15"/>
      <c r="K675" s="13"/>
      <c r="L675" s="3" t="s">
        <v>831</v>
      </c>
    </row>
    <row r="676" spans="1:12" ht="21.95" customHeight="1">
      <c r="A676" s="1">
        <v>674</v>
      </c>
      <c r="B676" s="2" t="str">
        <f>"杨家令"</f>
        <v>杨家令</v>
      </c>
      <c r="C676" s="2" t="str">
        <f>"女"</f>
        <v>女</v>
      </c>
      <c r="D676" s="2" t="s">
        <v>15</v>
      </c>
      <c r="E676" s="2" t="s">
        <v>14</v>
      </c>
      <c r="F676" s="2" t="str">
        <f t="shared" si="40"/>
        <v>E2024024</v>
      </c>
      <c r="G676" s="2" t="s">
        <v>747</v>
      </c>
      <c r="H676" s="6" t="s">
        <v>64</v>
      </c>
      <c r="I676" s="6" t="s">
        <v>52</v>
      </c>
      <c r="J676" s="15"/>
      <c r="K676" s="13"/>
      <c r="L676" s="3" t="s">
        <v>831</v>
      </c>
    </row>
    <row r="677" spans="1:12" ht="21.95" customHeight="1">
      <c r="A677" s="1">
        <v>675</v>
      </c>
      <c r="B677" s="2" t="str">
        <f>"向奥犇"</f>
        <v>向奥犇</v>
      </c>
      <c r="C677" s="2" t="str">
        <f>"男"</f>
        <v>男</v>
      </c>
      <c r="D677" s="2" t="s">
        <v>15</v>
      </c>
      <c r="E677" s="2" t="s">
        <v>14</v>
      </c>
      <c r="F677" s="2" t="str">
        <f t="shared" si="40"/>
        <v>E2024024</v>
      </c>
      <c r="G677" s="2" t="s">
        <v>748</v>
      </c>
      <c r="H677" s="6" t="s">
        <v>64</v>
      </c>
      <c r="I677" s="6" t="s">
        <v>67</v>
      </c>
      <c r="J677" s="15"/>
      <c r="K677" s="13"/>
      <c r="L677" s="3" t="s">
        <v>831</v>
      </c>
    </row>
    <row r="678" spans="1:12" ht="21.95" customHeight="1">
      <c r="A678" s="1">
        <v>676</v>
      </c>
      <c r="B678" s="2" t="str">
        <f>"向子阳"</f>
        <v>向子阳</v>
      </c>
      <c r="C678" s="2" t="str">
        <f>"男"</f>
        <v>男</v>
      </c>
      <c r="D678" s="2" t="s">
        <v>15</v>
      </c>
      <c r="E678" s="2" t="s">
        <v>14</v>
      </c>
      <c r="F678" s="2" t="str">
        <f t="shared" si="40"/>
        <v>E2024024</v>
      </c>
      <c r="G678" s="2" t="s">
        <v>753</v>
      </c>
      <c r="H678" s="6" t="s">
        <v>48</v>
      </c>
      <c r="I678" s="6" t="s">
        <v>28</v>
      </c>
      <c r="J678" s="15"/>
      <c r="K678" s="13"/>
      <c r="L678" s="3" t="s">
        <v>831</v>
      </c>
    </row>
    <row r="679" spans="1:12" ht="21.95" customHeight="1">
      <c r="A679" s="1">
        <v>677</v>
      </c>
      <c r="B679" s="2" t="str">
        <f>"李叶"</f>
        <v>李叶</v>
      </c>
      <c r="C679" s="2" t="str">
        <f>"女"</f>
        <v>女</v>
      </c>
      <c r="D679" s="2" t="s">
        <v>15</v>
      </c>
      <c r="E679" s="2" t="s">
        <v>14</v>
      </c>
      <c r="F679" s="2" t="str">
        <f t="shared" si="40"/>
        <v>E2024024</v>
      </c>
      <c r="G679" s="2" t="s">
        <v>756</v>
      </c>
      <c r="H679" s="6" t="s">
        <v>48</v>
      </c>
      <c r="I679" s="6" t="s">
        <v>56</v>
      </c>
      <c r="J679" s="15"/>
      <c r="K679" s="13"/>
      <c r="L679" s="3" t="s">
        <v>831</v>
      </c>
    </row>
    <row r="680" spans="1:12" ht="21.95" customHeight="1">
      <c r="A680" s="1">
        <v>678</v>
      </c>
      <c r="B680" s="2" t="str">
        <f>"申彩燕"</f>
        <v>申彩燕</v>
      </c>
      <c r="C680" s="2" t="str">
        <f>"女"</f>
        <v>女</v>
      </c>
      <c r="D680" s="2" t="s">
        <v>15</v>
      </c>
      <c r="E680" s="2" t="s">
        <v>14</v>
      </c>
      <c r="F680" s="2" t="str">
        <f t="shared" si="40"/>
        <v>E2024024</v>
      </c>
      <c r="G680" s="2" t="s">
        <v>759</v>
      </c>
      <c r="H680" s="6" t="s">
        <v>48</v>
      </c>
      <c r="I680" s="6" t="s">
        <v>34</v>
      </c>
      <c r="J680" s="15"/>
      <c r="K680" s="13"/>
      <c r="L680" s="3" t="s">
        <v>831</v>
      </c>
    </row>
    <row r="681" spans="1:12" ht="21.95" customHeight="1">
      <c r="A681" s="1">
        <v>679</v>
      </c>
      <c r="B681" s="2" t="str">
        <f>"唐媛媛"</f>
        <v>唐媛媛</v>
      </c>
      <c r="C681" s="2" t="str">
        <f>"女"</f>
        <v>女</v>
      </c>
      <c r="D681" s="2" t="s">
        <v>15</v>
      </c>
      <c r="E681" s="2" t="s">
        <v>14</v>
      </c>
      <c r="F681" s="2" t="str">
        <f t="shared" si="40"/>
        <v>E2024024</v>
      </c>
      <c r="G681" s="2" t="s">
        <v>762</v>
      </c>
      <c r="H681" s="6" t="s">
        <v>48</v>
      </c>
      <c r="I681" s="6" t="s">
        <v>59</v>
      </c>
      <c r="J681" s="15"/>
      <c r="K681" s="13"/>
      <c r="L681" s="3" t="s">
        <v>831</v>
      </c>
    </row>
    <row r="682" spans="1:12" ht="21.95" customHeight="1">
      <c r="A682" s="1">
        <v>680</v>
      </c>
      <c r="B682" s="2" t="str">
        <f>"蒲思颖"</f>
        <v>蒲思颖</v>
      </c>
      <c r="C682" s="2" t="str">
        <f>"女"</f>
        <v>女</v>
      </c>
      <c r="D682" s="2" t="s">
        <v>15</v>
      </c>
      <c r="E682" s="2" t="s">
        <v>14</v>
      </c>
      <c r="F682" s="2" t="str">
        <f t="shared" si="40"/>
        <v>E2024024</v>
      </c>
      <c r="G682" s="2" t="s">
        <v>765</v>
      </c>
      <c r="H682" s="6" t="s">
        <v>48</v>
      </c>
      <c r="I682" s="6" t="s">
        <v>40</v>
      </c>
      <c r="J682" s="15"/>
      <c r="K682" s="13"/>
      <c r="L682" s="3" t="s">
        <v>831</v>
      </c>
    </row>
    <row r="683" spans="1:12" ht="21.95" customHeight="1">
      <c r="A683" s="1">
        <v>681</v>
      </c>
      <c r="B683" s="2" t="str">
        <f>"柳先艳"</f>
        <v>柳先艳</v>
      </c>
      <c r="C683" s="2" t="str">
        <f>"女"</f>
        <v>女</v>
      </c>
      <c r="D683" s="2" t="s">
        <v>15</v>
      </c>
      <c r="E683" s="2" t="s">
        <v>14</v>
      </c>
      <c r="F683" s="2" t="str">
        <f t="shared" si="40"/>
        <v>E2024024</v>
      </c>
      <c r="G683" s="2" t="s">
        <v>766</v>
      </c>
      <c r="H683" s="6" t="s">
        <v>48</v>
      </c>
      <c r="I683" s="6" t="s">
        <v>61</v>
      </c>
      <c r="J683" s="15"/>
      <c r="K683" s="13"/>
      <c r="L683" s="3" t="s">
        <v>831</v>
      </c>
    </row>
    <row r="684" spans="1:12" ht="21.95" customHeight="1">
      <c r="A684" s="1">
        <v>682</v>
      </c>
      <c r="B684" s="2" t="str">
        <f>"刘润坤"</f>
        <v>刘润坤</v>
      </c>
      <c r="C684" s="2" t="str">
        <f>"男"</f>
        <v>男</v>
      </c>
      <c r="D684" s="2" t="s">
        <v>15</v>
      </c>
      <c r="E684" s="2" t="s">
        <v>14</v>
      </c>
      <c r="F684" s="2" t="str">
        <f t="shared" si="40"/>
        <v>E2024024</v>
      </c>
      <c r="G684" s="2" t="s">
        <v>770</v>
      </c>
      <c r="H684" s="6" t="s">
        <v>48</v>
      </c>
      <c r="I684" s="6" t="s">
        <v>63</v>
      </c>
      <c r="J684" s="15"/>
      <c r="K684" s="13"/>
      <c r="L684" s="3" t="s">
        <v>831</v>
      </c>
    </row>
    <row r="685" spans="1:12" ht="21.95" customHeight="1">
      <c r="A685" s="1">
        <v>683</v>
      </c>
      <c r="B685" s="2" t="str">
        <f>"汪露"</f>
        <v>汪露</v>
      </c>
      <c r="C685" s="2" t="str">
        <f>"女"</f>
        <v>女</v>
      </c>
      <c r="D685" s="2" t="s">
        <v>15</v>
      </c>
      <c r="E685" s="2" t="s">
        <v>14</v>
      </c>
      <c r="F685" s="2" t="str">
        <f t="shared" si="40"/>
        <v>E2024024</v>
      </c>
      <c r="G685" s="2" t="s">
        <v>771</v>
      </c>
      <c r="H685" s="6" t="s">
        <v>48</v>
      </c>
      <c r="I685" s="6" t="s">
        <v>46</v>
      </c>
      <c r="J685" s="15"/>
      <c r="K685" s="13"/>
      <c r="L685" s="3" t="s">
        <v>831</v>
      </c>
    </row>
    <row r="686" spans="1:12" ht="21.95" customHeight="1">
      <c r="A686" s="1">
        <v>684</v>
      </c>
      <c r="B686" s="2" t="str">
        <f>"郑搏强"</f>
        <v>郑搏强</v>
      </c>
      <c r="C686" s="2" t="str">
        <f>"男"</f>
        <v>男</v>
      </c>
      <c r="D686" s="2" t="s">
        <v>15</v>
      </c>
      <c r="E686" s="2" t="s">
        <v>14</v>
      </c>
      <c r="F686" s="2" t="str">
        <f t="shared" si="40"/>
        <v>E2024024</v>
      </c>
      <c r="G686" s="2" t="s">
        <v>772</v>
      </c>
      <c r="H686" s="6" t="s">
        <v>48</v>
      </c>
      <c r="I686" s="6" t="s">
        <v>64</v>
      </c>
      <c r="J686" s="15"/>
      <c r="K686" s="13"/>
      <c r="L686" s="3" t="s">
        <v>831</v>
      </c>
    </row>
    <row r="687" spans="1:12" ht="21.95" customHeight="1">
      <c r="A687" s="1">
        <v>685</v>
      </c>
      <c r="B687" s="2" t="str">
        <f>"杨文慧"</f>
        <v>杨文慧</v>
      </c>
      <c r="C687" s="2" t="str">
        <f t="shared" ref="C687:C698" si="42">"女"</f>
        <v>女</v>
      </c>
      <c r="D687" s="2" t="s">
        <v>15</v>
      </c>
      <c r="E687" s="2" t="s">
        <v>14</v>
      </c>
      <c r="F687" s="2" t="str">
        <f t="shared" si="40"/>
        <v>E2024024</v>
      </c>
      <c r="G687" s="2" t="s">
        <v>773</v>
      </c>
      <c r="H687" s="6" t="s">
        <v>48</v>
      </c>
      <c r="I687" s="6" t="s">
        <v>48</v>
      </c>
      <c r="J687" s="15"/>
      <c r="K687" s="13"/>
      <c r="L687" s="3" t="s">
        <v>831</v>
      </c>
    </row>
    <row r="688" spans="1:12" ht="21.95" customHeight="1">
      <c r="A688" s="1">
        <v>686</v>
      </c>
      <c r="B688" s="2" t="str">
        <f>"田芳"</f>
        <v>田芳</v>
      </c>
      <c r="C688" s="2" t="str">
        <f t="shared" si="42"/>
        <v>女</v>
      </c>
      <c r="D688" s="2" t="s">
        <v>15</v>
      </c>
      <c r="E688" s="2" t="s">
        <v>14</v>
      </c>
      <c r="F688" s="2" t="str">
        <f t="shared" si="40"/>
        <v>E2024024</v>
      </c>
      <c r="G688" s="2" t="s">
        <v>774</v>
      </c>
      <c r="H688" s="6" t="s">
        <v>48</v>
      </c>
      <c r="I688" s="6" t="s">
        <v>65</v>
      </c>
      <c r="J688" s="15"/>
      <c r="K688" s="13"/>
      <c r="L688" s="3" t="s">
        <v>831</v>
      </c>
    </row>
    <row r="689" spans="1:12" ht="21.95" customHeight="1">
      <c r="A689" s="1">
        <v>687</v>
      </c>
      <c r="B689" s="2" t="str">
        <f>"黄美丹"</f>
        <v>黄美丹</v>
      </c>
      <c r="C689" s="2" t="str">
        <f t="shared" si="42"/>
        <v>女</v>
      </c>
      <c r="D689" s="2" t="s">
        <v>15</v>
      </c>
      <c r="E689" s="2" t="s">
        <v>14</v>
      </c>
      <c r="F689" s="2" t="str">
        <f t="shared" si="40"/>
        <v>E2024024</v>
      </c>
      <c r="G689" s="2" t="s">
        <v>775</v>
      </c>
      <c r="H689" s="6" t="s">
        <v>48</v>
      </c>
      <c r="I689" s="6" t="s">
        <v>50</v>
      </c>
      <c r="J689" s="15"/>
      <c r="K689" s="13"/>
      <c r="L689" s="3" t="s">
        <v>831</v>
      </c>
    </row>
    <row r="690" spans="1:12" ht="21.95" customHeight="1">
      <c r="A690" s="1">
        <v>688</v>
      </c>
      <c r="B690" s="2" t="str">
        <f>"蒋婷婷"</f>
        <v>蒋婷婷</v>
      </c>
      <c r="C690" s="2" t="str">
        <f t="shared" si="42"/>
        <v>女</v>
      </c>
      <c r="D690" s="2" t="s">
        <v>15</v>
      </c>
      <c r="E690" s="2" t="s">
        <v>14</v>
      </c>
      <c r="F690" s="2" t="str">
        <f t="shared" si="40"/>
        <v>E2024024</v>
      </c>
      <c r="G690" s="2" t="s">
        <v>777</v>
      </c>
      <c r="H690" s="6" t="s">
        <v>48</v>
      </c>
      <c r="I690" s="6" t="s">
        <v>52</v>
      </c>
      <c r="J690" s="15"/>
      <c r="K690" s="13"/>
      <c r="L690" s="3" t="s">
        <v>831</v>
      </c>
    </row>
    <row r="691" spans="1:12" ht="21.95" customHeight="1">
      <c r="A691" s="1">
        <v>689</v>
      </c>
      <c r="B691" s="2" t="str">
        <f>"张雯惠"</f>
        <v>张雯惠</v>
      </c>
      <c r="C691" s="2" t="str">
        <f t="shared" si="42"/>
        <v>女</v>
      </c>
      <c r="D691" s="2" t="s">
        <v>15</v>
      </c>
      <c r="E691" s="2" t="s">
        <v>14</v>
      </c>
      <c r="F691" s="2" t="str">
        <f t="shared" si="40"/>
        <v>E2024024</v>
      </c>
      <c r="G691" s="2" t="s">
        <v>778</v>
      </c>
      <c r="H691" s="6" t="s">
        <v>48</v>
      </c>
      <c r="I691" s="6" t="s">
        <v>67</v>
      </c>
      <c r="J691" s="15"/>
      <c r="K691" s="13"/>
      <c r="L691" s="3" t="s">
        <v>831</v>
      </c>
    </row>
    <row r="692" spans="1:12" ht="21.95" customHeight="1">
      <c r="A692" s="1">
        <v>690</v>
      </c>
      <c r="B692" s="2" t="str">
        <f>"向妍"</f>
        <v>向妍</v>
      </c>
      <c r="C692" s="2" t="str">
        <f t="shared" si="42"/>
        <v>女</v>
      </c>
      <c r="D692" s="2" t="s">
        <v>15</v>
      </c>
      <c r="E692" s="2" t="s">
        <v>14</v>
      </c>
      <c r="F692" s="2" t="str">
        <f t="shared" si="40"/>
        <v>E2024024</v>
      </c>
      <c r="G692" s="2" t="s">
        <v>779</v>
      </c>
      <c r="H692" s="6" t="s">
        <v>48</v>
      </c>
      <c r="I692" s="6" t="s">
        <v>71</v>
      </c>
      <c r="J692" s="15"/>
      <c r="K692" s="13"/>
      <c r="L692" s="3" t="s">
        <v>831</v>
      </c>
    </row>
    <row r="693" spans="1:12" ht="21.95" customHeight="1">
      <c r="A693" s="1">
        <v>691</v>
      </c>
      <c r="B693" s="2" t="str">
        <f>"谭燕"</f>
        <v>谭燕</v>
      </c>
      <c r="C693" s="2" t="str">
        <f t="shared" si="42"/>
        <v>女</v>
      </c>
      <c r="D693" s="2" t="s">
        <v>15</v>
      </c>
      <c r="E693" s="2" t="s">
        <v>14</v>
      </c>
      <c r="F693" s="2" t="str">
        <f t="shared" ref="F693:F722" si="43">"E2024024"</f>
        <v>E2024024</v>
      </c>
      <c r="G693" s="2" t="s">
        <v>780</v>
      </c>
      <c r="H693" s="6" t="s">
        <v>48</v>
      </c>
      <c r="I693" s="6" t="s">
        <v>72</v>
      </c>
      <c r="J693" s="15"/>
      <c r="K693" s="13"/>
      <c r="L693" s="3" t="s">
        <v>831</v>
      </c>
    </row>
    <row r="694" spans="1:12" ht="21.95" customHeight="1">
      <c r="A694" s="1">
        <v>692</v>
      </c>
      <c r="B694" s="2" t="str">
        <f>"李子君"</f>
        <v>李子君</v>
      </c>
      <c r="C694" s="2" t="str">
        <f t="shared" si="42"/>
        <v>女</v>
      </c>
      <c r="D694" s="2" t="s">
        <v>15</v>
      </c>
      <c r="E694" s="2" t="s">
        <v>14</v>
      </c>
      <c r="F694" s="2" t="str">
        <f t="shared" si="43"/>
        <v>E2024024</v>
      </c>
      <c r="G694" s="2" t="s">
        <v>781</v>
      </c>
      <c r="H694" s="6" t="s">
        <v>98</v>
      </c>
      <c r="I694" s="6" t="s">
        <v>26</v>
      </c>
      <c r="J694" s="15"/>
      <c r="K694" s="13"/>
      <c r="L694" s="3" t="s">
        <v>831</v>
      </c>
    </row>
    <row r="695" spans="1:12" ht="21.95" customHeight="1">
      <c r="A695" s="1">
        <v>693</v>
      </c>
      <c r="B695" s="2" t="str">
        <f>"王敏"</f>
        <v>王敏</v>
      </c>
      <c r="C695" s="2" t="str">
        <f t="shared" si="42"/>
        <v>女</v>
      </c>
      <c r="D695" s="2" t="s">
        <v>15</v>
      </c>
      <c r="E695" s="2" t="s">
        <v>14</v>
      </c>
      <c r="F695" s="2" t="str">
        <f t="shared" si="43"/>
        <v>E2024024</v>
      </c>
      <c r="G695" s="2" t="s">
        <v>783</v>
      </c>
      <c r="H695" s="6" t="s">
        <v>65</v>
      </c>
      <c r="I695" s="6" t="s">
        <v>28</v>
      </c>
      <c r="J695" s="15"/>
      <c r="K695" s="13"/>
      <c r="L695" s="3" t="s">
        <v>831</v>
      </c>
    </row>
    <row r="696" spans="1:12" ht="21.95" customHeight="1">
      <c r="A696" s="1">
        <v>694</v>
      </c>
      <c r="B696" s="2" t="str">
        <f>"朱琪琪"</f>
        <v>朱琪琪</v>
      </c>
      <c r="C696" s="2" t="str">
        <f t="shared" si="42"/>
        <v>女</v>
      </c>
      <c r="D696" s="2" t="s">
        <v>15</v>
      </c>
      <c r="E696" s="2" t="s">
        <v>14</v>
      </c>
      <c r="F696" s="2" t="str">
        <f t="shared" si="43"/>
        <v>E2024024</v>
      </c>
      <c r="G696" s="2" t="s">
        <v>785</v>
      </c>
      <c r="H696" s="6" t="s">
        <v>65</v>
      </c>
      <c r="I696" s="6" t="s">
        <v>30</v>
      </c>
      <c r="J696" s="15"/>
      <c r="K696" s="13"/>
      <c r="L696" s="3" t="s">
        <v>831</v>
      </c>
    </row>
    <row r="697" spans="1:12" ht="21.95" customHeight="1">
      <c r="A697" s="1">
        <v>695</v>
      </c>
      <c r="B697" s="2" t="str">
        <f>"向星童"</f>
        <v>向星童</v>
      </c>
      <c r="C697" s="2" t="str">
        <f t="shared" si="42"/>
        <v>女</v>
      </c>
      <c r="D697" s="2" t="s">
        <v>15</v>
      </c>
      <c r="E697" s="2" t="s">
        <v>14</v>
      </c>
      <c r="F697" s="2" t="str">
        <f t="shared" si="43"/>
        <v>E2024024</v>
      </c>
      <c r="G697" s="2" t="s">
        <v>786</v>
      </c>
      <c r="H697" s="6" t="s">
        <v>65</v>
      </c>
      <c r="I697" s="6" t="s">
        <v>56</v>
      </c>
      <c r="J697" s="15"/>
      <c r="K697" s="13"/>
      <c r="L697" s="3" t="s">
        <v>831</v>
      </c>
    </row>
    <row r="698" spans="1:12" ht="21.95" customHeight="1">
      <c r="A698" s="1">
        <v>696</v>
      </c>
      <c r="B698" s="2" t="str">
        <f>"赵冬芳"</f>
        <v>赵冬芳</v>
      </c>
      <c r="C698" s="2" t="str">
        <f t="shared" si="42"/>
        <v>女</v>
      </c>
      <c r="D698" s="2" t="s">
        <v>15</v>
      </c>
      <c r="E698" s="2" t="s">
        <v>14</v>
      </c>
      <c r="F698" s="2" t="str">
        <f t="shared" si="43"/>
        <v>E2024024</v>
      </c>
      <c r="G698" s="2" t="s">
        <v>787</v>
      </c>
      <c r="H698" s="6" t="s">
        <v>65</v>
      </c>
      <c r="I698" s="6" t="s">
        <v>32</v>
      </c>
      <c r="J698" s="15"/>
      <c r="K698" s="13"/>
      <c r="L698" s="3" t="s">
        <v>831</v>
      </c>
    </row>
    <row r="699" spans="1:12" ht="21.95" customHeight="1">
      <c r="A699" s="1">
        <v>697</v>
      </c>
      <c r="B699" s="2" t="str">
        <f>"何成林"</f>
        <v>何成林</v>
      </c>
      <c r="C699" s="2" t="str">
        <f>"男"</f>
        <v>男</v>
      </c>
      <c r="D699" s="2" t="s">
        <v>15</v>
      </c>
      <c r="E699" s="2" t="s">
        <v>14</v>
      </c>
      <c r="F699" s="2" t="str">
        <f t="shared" si="43"/>
        <v>E2024024</v>
      </c>
      <c r="G699" s="2" t="s">
        <v>788</v>
      </c>
      <c r="H699" s="6" t="s">
        <v>65</v>
      </c>
      <c r="I699" s="6" t="s">
        <v>57</v>
      </c>
      <c r="J699" s="15"/>
      <c r="K699" s="13"/>
      <c r="L699" s="3" t="s">
        <v>831</v>
      </c>
    </row>
    <row r="700" spans="1:12" ht="21.95" customHeight="1">
      <c r="A700" s="1">
        <v>698</v>
      </c>
      <c r="B700" s="2" t="str">
        <f>"王玉霞"</f>
        <v>王玉霞</v>
      </c>
      <c r="C700" s="2" t="str">
        <f>"女"</f>
        <v>女</v>
      </c>
      <c r="D700" s="2" t="s">
        <v>15</v>
      </c>
      <c r="E700" s="2" t="s">
        <v>14</v>
      </c>
      <c r="F700" s="2" t="str">
        <f t="shared" si="43"/>
        <v>E2024024</v>
      </c>
      <c r="G700" s="2" t="s">
        <v>790</v>
      </c>
      <c r="H700" s="6" t="s">
        <v>65</v>
      </c>
      <c r="I700" s="6" t="s">
        <v>58</v>
      </c>
      <c r="J700" s="15"/>
      <c r="K700" s="13"/>
      <c r="L700" s="3" t="s">
        <v>831</v>
      </c>
    </row>
    <row r="701" spans="1:12" ht="21.95" customHeight="1">
      <c r="A701" s="1">
        <v>699</v>
      </c>
      <c r="B701" s="2" t="str">
        <f>"侯姚"</f>
        <v>侯姚</v>
      </c>
      <c r="C701" s="2" t="str">
        <f>"男"</f>
        <v>男</v>
      </c>
      <c r="D701" s="2" t="s">
        <v>15</v>
      </c>
      <c r="E701" s="2" t="s">
        <v>14</v>
      </c>
      <c r="F701" s="2" t="str">
        <f t="shared" si="43"/>
        <v>E2024024</v>
      </c>
      <c r="G701" s="2" t="s">
        <v>792</v>
      </c>
      <c r="H701" s="6" t="s">
        <v>65</v>
      </c>
      <c r="I701" s="6" t="s">
        <v>59</v>
      </c>
      <c r="J701" s="15"/>
      <c r="K701" s="13"/>
      <c r="L701" s="3" t="s">
        <v>831</v>
      </c>
    </row>
    <row r="702" spans="1:12" ht="21.95" customHeight="1">
      <c r="A702" s="1">
        <v>700</v>
      </c>
      <c r="B702" s="2" t="str">
        <f>"王越"</f>
        <v>王越</v>
      </c>
      <c r="C702" s="2" t="str">
        <f>"女"</f>
        <v>女</v>
      </c>
      <c r="D702" s="2" t="s">
        <v>15</v>
      </c>
      <c r="E702" s="2" t="s">
        <v>14</v>
      </c>
      <c r="F702" s="2" t="str">
        <f t="shared" si="43"/>
        <v>E2024024</v>
      </c>
      <c r="G702" s="2" t="s">
        <v>793</v>
      </c>
      <c r="H702" s="6" t="s">
        <v>65</v>
      </c>
      <c r="I702" s="6" t="s">
        <v>38</v>
      </c>
      <c r="J702" s="15"/>
      <c r="K702" s="13"/>
      <c r="L702" s="3" t="s">
        <v>831</v>
      </c>
    </row>
    <row r="703" spans="1:12" ht="21.95" customHeight="1">
      <c r="A703" s="1">
        <v>701</v>
      </c>
      <c r="B703" s="2" t="str">
        <f>"马媛媛"</f>
        <v>马媛媛</v>
      </c>
      <c r="C703" s="2" t="str">
        <f>"女"</f>
        <v>女</v>
      </c>
      <c r="D703" s="2" t="s">
        <v>15</v>
      </c>
      <c r="E703" s="2" t="s">
        <v>14</v>
      </c>
      <c r="F703" s="2" t="str">
        <f t="shared" si="43"/>
        <v>E2024024</v>
      </c>
      <c r="G703" s="2" t="s">
        <v>794</v>
      </c>
      <c r="H703" s="6" t="s">
        <v>65</v>
      </c>
      <c r="I703" s="6" t="s">
        <v>60</v>
      </c>
      <c r="J703" s="15"/>
      <c r="K703" s="13"/>
      <c r="L703" s="3" t="s">
        <v>831</v>
      </c>
    </row>
    <row r="704" spans="1:12" ht="21.95" customHeight="1">
      <c r="A704" s="1">
        <v>702</v>
      </c>
      <c r="B704" s="2" t="str">
        <f>"钱雪"</f>
        <v>钱雪</v>
      </c>
      <c r="C704" s="2" t="str">
        <f>"女"</f>
        <v>女</v>
      </c>
      <c r="D704" s="2" t="s">
        <v>15</v>
      </c>
      <c r="E704" s="2" t="s">
        <v>14</v>
      </c>
      <c r="F704" s="2" t="str">
        <f t="shared" si="43"/>
        <v>E2024024</v>
      </c>
      <c r="G704" s="2" t="s">
        <v>795</v>
      </c>
      <c r="H704" s="6" t="s">
        <v>65</v>
      </c>
      <c r="I704" s="6" t="s">
        <v>40</v>
      </c>
      <c r="J704" s="15"/>
      <c r="K704" s="13"/>
      <c r="L704" s="3" t="s">
        <v>831</v>
      </c>
    </row>
    <row r="705" spans="1:12" ht="21.95" customHeight="1">
      <c r="A705" s="1">
        <v>703</v>
      </c>
      <c r="B705" s="2" t="str">
        <f>"刘芬"</f>
        <v>刘芬</v>
      </c>
      <c r="C705" s="2" t="str">
        <f>"女"</f>
        <v>女</v>
      </c>
      <c r="D705" s="2" t="s">
        <v>15</v>
      </c>
      <c r="E705" s="2" t="s">
        <v>14</v>
      </c>
      <c r="F705" s="2" t="str">
        <f t="shared" si="43"/>
        <v>E2024024</v>
      </c>
      <c r="G705" s="2" t="s">
        <v>797</v>
      </c>
      <c r="H705" s="6" t="s">
        <v>65</v>
      </c>
      <c r="I705" s="6" t="s">
        <v>42</v>
      </c>
      <c r="J705" s="15"/>
      <c r="K705" s="13"/>
      <c r="L705" s="3" t="s">
        <v>831</v>
      </c>
    </row>
    <row r="706" spans="1:12" ht="21.95" customHeight="1">
      <c r="A706" s="1">
        <v>704</v>
      </c>
      <c r="B706" s="2" t="str">
        <f>"刘佳丽"</f>
        <v>刘佳丽</v>
      </c>
      <c r="C706" s="2" t="str">
        <f>"女"</f>
        <v>女</v>
      </c>
      <c r="D706" s="2" t="s">
        <v>15</v>
      </c>
      <c r="E706" s="2" t="s">
        <v>14</v>
      </c>
      <c r="F706" s="2" t="str">
        <f t="shared" si="43"/>
        <v>E2024024</v>
      </c>
      <c r="G706" s="2" t="s">
        <v>798</v>
      </c>
      <c r="H706" s="6" t="s">
        <v>65</v>
      </c>
      <c r="I706" s="6" t="s">
        <v>62</v>
      </c>
      <c r="J706" s="15"/>
      <c r="K706" s="13"/>
      <c r="L706" s="3" t="s">
        <v>831</v>
      </c>
    </row>
    <row r="707" spans="1:12" ht="21.95" customHeight="1">
      <c r="A707" s="1">
        <v>705</v>
      </c>
      <c r="B707" s="2" t="str">
        <f>"葛启宏"</f>
        <v>葛启宏</v>
      </c>
      <c r="C707" s="2" t="str">
        <f>"男"</f>
        <v>男</v>
      </c>
      <c r="D707" s="2" t="s">
        <v>15</v>
      </c>
      <c r="E707" s="2" t="s">
        <v>14</v>
      </c>
      <c r="F707" s="2" t="str">
        <f t="shared" si="43"/>
        <v>E2024024</v>
      </c>
      <c r="G707" s="2" t="s">
        <v>799</v>
      </c>
      <c r="H707" s="6" t="s">
        <v>65</v>
      </c>
      <c r="I707" s="6" t="s">
        <v>44</v>
      </c>
      <c r="J707" s="15"/>
      <c r="K707" s="13"/>
      <c r="L707" s="3" t="s">
        <v>831</v>
      </c>
    </row>
    <row r="708" spans="1:12" ht="21.95" customHeight="1">
      <c r="A708" s="1">
        <v>706</v>
      </c>
      <c r="B708" s="2" t="str">
        <f>"刘书鹏"</f>
        <v>刘书鹏</v>
      </c>
      <c r="C708" s="2" t="str">
        <f>"男"</f>
        <v>男</v>
      </c>
      <c r="D708" s="2" t="s">
        <v>15</v>
      </c>
      <c r="E708" s="2" t="s">
        <v>14</v>
      </c>
      <c r="F708" s="2" t="str">
        <f t="shared" si="43"/>
        <v>E2024024</v>
      </c>
      <c r="G708" s="2" t="s">
        <v>802</v>
      </c>
      <c r="H708" s="6" t="s">
        <v>65</v>
      </c>
      <c r="I708" s="6" t="s">
        <v>64</v>
      </c>
      <c r="J708" s="15"/>
      <c r="K708" s="13"/>
      <c r="L708" s="3" t="s">
        <v>831</v>
      </c>
    </row>
    <row r="709" spans="1:12" ht="21.95" customHeight="1">
      <c r="A709" s="1">
        <v>707</v>
      </c>
      <c r="B709" s="2" t="str">
        <f>"严鑫"</f>
        <v>严鑫</v>
      </c>
      <c r="C709" s="2" t="str">
        <f t="shared" ref="C709:C716" si="44">"女"</f>
        <v>女</v>
      </c>
      <c r="D709" s="2" t="s">
        <v>15</v>
      </c>
      <c r="E709" s="2" t="s">
        <v>14</v>
      </c>
      <c r="F709" s="2" t="str">
        <f t="shared" si="43"/>
        <v>E2024024</v>
      </c>
      <c r="G709" s="2" t="s">
        <v>803</v>
      </c>
      <c r="H709" s="6" t="s">
        <v>65</v>
      </c>
      <c r="I709" s="6" t="s">
        <v>48</v>
      </c>
      <c r="J709" s="15"/>
      <c r="K709" s="13"/>
      <c r="L709" s="3" t="s">
        <v>831</v>
      </c>
    </row>
    <row r="710" spans="1:12" ht="21.95" customHeight="1">
      <c r="A710" s="1">
        <v>708</v>
      </c>
      <c r="B710" s="2" t="str">
        <f>"王婷"</f>
        <v>王婷</v>
      </c>
      <c r="C710" s="2" t="str">
        <f t="shared" si="44"/>
        <v>女</v>
      </c>
      <c r="D710" s="2" t="s">
        <v>15</v>
      </c>
      <c r="E710" s="2" t="s">
        <v>14</v>
      </c>
      <c r="F710" s="2" t="str">
        <f t="shared" si="43"/>
        <v>E2024024</v>
      </c>
      <c r="G710" s="2" t="s">
        <v>804</v>
      </c>
      <c r="H710" s="6" t="s">
        <v>65</v>
      </c>
      <c r="I710" s="6" t="s">
        <v>65</v>
      </c>
      <c r="J710" s="15"/>
      <c r="K710" s="13"/>
      <c r="L710" s="3" t="s">
        <v>831</v>
      </c>
    </row>
    <row r="711" spans="1:12" ht="21.95" customHeight="1">
      <c r="A711" s="1">
        <v>709</v>
      </c>
      <c r="B711" s="2" t="str">
        <f>"陈洪"</f>
        <v>陈洪</v>
      </c>
      <c r="C711" s="2" t="str">
        <f t="shared" si="44"/>
        <v>女</v>
      </c>
      <c r="D711" s="2" t="s">
        <v>15</v>
      </c>
      <c r="E711" s="2" t="s">
        <v>14</v>
      </c>
      <c r="F711" s="2" t="str">
        <f t="shared" si="43"/>
        <v>E2024024</v>
      </c>
      <c r="G711" s="2" t="s">
        <v>805</v>
      </c>
      <c r="H711" s="6" t="s">
        <v>65</v>
      </c>
      <c r="I711" s="6" t="s">
        <v>50</v>
      </c>
      <c r="J711" s="15"/>
      <c r="K711" s="13"/>
      <c r="L711" s="3" t="s">
        <v>831</v>
      </c>
    </row>
    <row r="712" spans="1:12" ht="21.95" customHeight="1">
      <c r="A712" s="1">
        <v>710</v>
      </c>
      <c r="B712" s="2" t="str">
        <f>"晏慧卿"</f>
        <v>晏慧卿</v>
      </c>
      <c r="C712" s="2" t="str">
        <f t="shared" si="44"/>
        <v>女</v>
      </c>
      <c r="D712" s="2" t="s">
        <v>15</v>
      </c>
      <c r="E712" s="2" t="s">
        <v>14</v>
      </c>
      <c r="F712" s="2" t="str">
        <f t="shared" si="43"/>
        <v>E2024024</v>
      </c>
      <c r="G712" s="2" t="s">
        <v>807</v>
      </c>
      <c r="H712" s="6" t="s">
        <v>65</v>
      </c>
      <c r="I712" s="6" t="s">
        <v>52</v>
      </c>
      <c r="J712" s="15"/>
      <c r="K712" s="13"/>
      <c r="L712" s="3" t="s">
        <v>831</v>
      </c>
    </row>
    <row r="713" spans="1:12" ht="21.95" customHeight="1">
      <c r="A713" s="1">
        <v>711</v>
      </c>
      <c r="B713" s="2" t="str">
        <f>"张献楠"</f>
        <v>张献楠</v>
      </c>
      <c r="C713" s="2" t="str">
        <f t="shared" si="44"/>
        <v>女</v>
      </c>
      <c r="D713" s="2" t="s">
        <v>15</v>
      </c>
      <c r="E713" s="2" t="s">
        <v>14</v>
      </c>
      <c r="F713" s="2" t="str">
        <f t="shared" si="43"/>
        <v>E2024024</v>
      </c>
      <c r="G713" s="2" t="s">
        <v>808</v>
      </c>
      <c r="H713" s="6" t="s">
        <v>65</v>
      </c>
      <c r="I713" s="6" t="s">
        <v>67</v>
      </c>
      <c r="J713" s="15"/>
      <c r="K713" s="13"/>
      <c r="L713" s="3" t="s">
        <v>831</v>
      </c>
    </row>
    <row r="714" spans="1:12" ht="21.95" customHeight="1">
      <c r="A714" s="1">
        <v>712</v>
      </c>
      <c r="B714" s="2" t="str">
        <f>"谭玉兰"</f>
        <v>谭玉兰</v>
      </c>
      <c r="C714" s="2" t="str">
        <f t="shared" si="44"/>
        <v>女</v>
      </c>
      <c r="D714" s="2" t="s">
        <v>15</v>
      </c>
      <c r="E714" s="2" t="s">
        <v>14</v>
      </c>
      <c r="F714" s="2" t="str">
        <f t="shared" si="43"/>
        <v>E2024024</v>
      </c>
      <c r="G714" s="2" t="s">
        <v>809</v>
      </c>
      <c r="H714" s="6" t="s">
        <v>65</v>
      </c>
      <c r="I714" s="6" t="s">
        <v>71</v>
      </c>
      <c r="J714" s="15"/>
      <c r="K714" s="13"/>
      <c r="L714" s="3" t="s">
        <v>831</v>
      </c>
    </row>
    <row r="715" spans="1:12" ht="21.95" customHeight="1">
      <c r="A715" s="1">
        <v>713</v>
      </c>
      <c r="B715" s="2" t="str">
        <f>"张耀恩"</f>
        <v>张耀恩</v>
      </c>
      <c r="C715" s="2" t="str">
        <f t="shared" si="44"/>
        <v>女</v>
      </c>
      <c r="D715" s="2" t="s">
        <v>15</v>
      </c>
      <c r="E715" s="2" t="s">
        <v>14</v>
      </c>
      <c r="F715" s="2" t="str">
        <f t="shared" si="43"/>
        <v>E2024024</v>
      </c>
      <c r="G715" s="2" t="s">
        <v>811</v>
      </c>
      <c r="H715" s="6" t="s">
        <v>99</v>
      </c>
      <c r="I715" s="6" t="s">
        <v>26</v>
      </c>
      <c r="J715" s="15"/>
      <c r="K715" s="13"/>
      <c r="L715" s="3" t="s">
        <v>831</v>
      </c>
    </row>
    <row r="716" spans="1:12" ht="21.95" customHeight="1">
      <c r="A716" s="1">
        <v>714</v>
      </c>
      <c r="B716" s="2" t="str">
        <f>"谭荣丽"</f>
        <v>谭荣丽</v>
      </c>
      <c r="C716" s="2" t="str">
        <f t="shared" si="44"/>
        <v>女</v>
      </c>
      <c r="D716" s="2" t="s">
        <v>15</v>
      </c>
      <c r="E716" s="2" t="s">
        <v>14</v>
      </c>
      <c r="F716" s="2" t="str">
        <f t="shared" si="43"/>
        <v>E2024024</v>
      </c>
      <c r="G716" s="2" t="s">
        <v>812</v>
      </c>
      <c r="H716" s="6" t="s">
        <v>99</v>
      </c>
      <c r="I716" s="6" t="s">
        <v>54</v>
      </c>
      <c r="J716" s="15"/>
      <c r="K716" s="13"/>
      <c r="L716" s="3" t="s">
        <v>831</v>
      </c>
    </row>
    <row r="717" spans="1:12" ht="21.95" customHeight="1">
      <c r="A717" s="1">
        <v>715</v>
      </c>
      <c r="B717" s="2" t="str">
        <f>"程健翀"</f>
        <v>程健翀</v>
      </c>
      <c r="C717" s="2" t="str">
        <f>"男"</f>
        <v>男</v>
      </c>
      <c r="D717" s="2" t="s">
        <v>15</v>
      </c>
      <c r="E717" s="2" t="s">
        <v>14</v>
      </c>
      <c r="F717" s="2" t="str">
        <f t="shared" si="43"/>
        <v>E2024024</v>
      </c>
      <c r="G717" s="2" t="s">
        <v>813</v>
      </c>
      <c r="H717" s="6" t="s">
        <v>50</v>
      </c>
      <c r="I717" s="6" t="s">
        <v>28</v>
      </c>
      <c r="J717" s="15"/>
      <c r="K717" s="13"/>
      <c r="L717" s="3" t="s">
        <v>831</v>
      </c>
    </row>
    <row r="718" spans="1:12" ht="21.95" customHeight="1">
      <c r="A718" s="1">
        <v>716</v>
      </c>
      <c r="B718" s="2" t="str">
        <f>"朱彩霞"</f>
        <v>朱彩霞</v>
      </c>
      <c r="C718" s="2" t="str">
        <f>"女"</f>
        <v>女</v>
      </c>
      <c r="D718" s="2" t="s">
        <v>15</v>
      </c>
      <c r="E718" s="2" t="s">
        <v>14</v>
      </c>
      <c r="F718" s="2" t="str">
        <f t="shared" si="43"/>
        <v>E2024024</v>
      </c>
      <c r="G718" s="2" t="s">
        <v>814</v>
      </c>
      <c r="H718" s="6" t="s">
        <v>50</v>
      </c>
      <c r="I718" s="6" t="s">
        <v>55</v>
      </c>
      <c r="J718" s="15"/>
      <c r="K718" s="13"/>
      <c r="L718" s="3" t="s">
        <v>831</v>
      </c>
    </row>
    <row r="719" spans="1:12" ht="21.95" customHeight="1">
      <c r="A719" s="1">
        <v>717</v>
      </c>
      <c r="B719" s="2" t="str">
        <f>"李子逸"</f>
        <v>李子逸</v>
      </c>
      <c r="C719" s="2" t="str">
        <f>"女"</f>
        <v>女</v>
      </c>
      <c r="D719" s="2" t="s">
        <v>15</v>
      </c>
      <c r="E719" s="2" t="s">
        <v>14</v>
      </c>
      <c r="F719" s="2" t="str">
        <f t="shared" si="43"/>
        <v>E2024024</v>
      </c>
      <c r="G719" s="2" t="s">
        <v>815</v>
      </c>
      <c r="H719" s="6" t="s">
        <v>50</v>
      </c>
      <c r="I719" s="6" t="s">
        <v>30</v>
      </c>
      <c r="J719" s="15"/>
      <c r="K719" s="13"/>
      <c r="L719" s="3" t="s">
        <v>831</v>
      </c>
    </row>
    <row r="720" spans="1:12" ht="21.95" customHeight="1">
      <c r="A720" s="1">
        <v>718</v>
      </c>
      <c r="B720" s="2" t="str">
        <f>"刘亚春"</f>
        <v>刘亚春</v>
      </c>
      <c r="C720" s="2" t="str">
        <f>"女"</f>
        <v>女</v>
      </c>
      <c r="D720" s="2" t="s">
        <v>15</v>
      </c>
      <c r="E720" s="2" t="s">
        <v>14</v>
      </c>
      <c r="F720" s="2" t="str">
        <f t="shared" si="43"/>
        <v>E2024024</v>
      </c>
      <c r="G720" s="2" t="s">
        <v>816</v>
      </c>
      <c r="H720" s="6" t="s">
        <v>50</v>
      </c>
      <c r="I720" s="6" t="s">
        <v>56</v>
      </c>
      <c r="J720" s="15"/>
      <c r="K720" s="13"/>
      <c r="L720" s="3" t="s">
        <v>831</v>
      </c>
    </row>
    <row r="721" spans="1:12" ht="21.95" customHeight="1">
      <c r="A721" s="1">
        <v>719</v>
      </c>
      <c r="B721" s="2" t="str">
        <f>"王珺"</f>
        <v>王珺</v>
      </c>
      <c r="C721" s="2" t="str">
        <f>"女"</f>
        <v>女</v>
      </c>
      <c r="D721" s="2" t="s">
        <v>15</v>
      </c>
      <c r="E721" s="2" t="s">
        <v>14</v>
      </c>
      <c r="F721" s="2" t="str">
        <f t="shared" si="43"/>
        <v>E2024024</v>
      </c>
      <c r="G721" s="2" t="s">
        <v>817</v>
      </c>
      <c r="H721" s="6" t="s">
        <v>50</v>
      </c>
      <c r="I721" s="6" t="s">
        <v>32</v>
      </c>
      <c r="J721" s="15"/>
      <c r="K721" s="13"/>
      <c r="L721" s="3" t="s">
        <v>831</v>
      </c>
    </row>
    <row r="722" spans="1:12" ht="21.95" customHeight="1">
      <c r="A722" s="1">
        <v>720</v>
      </c>
      <c r="B722" s="2" t="str">
        <f>"罗玲"</f>
        <v>罗玲</v>
      </c>
      <c r="C722" s="2" t="str">
        <f>"女"</f>
        <v>女</v>
      </c>
      <c r="D722" s="2" t="s">
        <v>15</v>
      </c>
      <c r="E722" s="2" t="s">
        <v>14</v>
      </c>
      <c r="F722" s="2" t="str">
        <f t="shared" si="43"/>
        <v>E2024024</v>
      </c>
      <c r="G722" s="2" t="s">
        <v>818</v>
      </c>
      <c r="H722" s="6" t="s">
        <v>50</v>
      </c>
      <c r="I722" s="6" t="s">
        <v>57</v>
      </c>
      <c r="J722" s="15"/>
      <c r="K722" s="13"/>
      <c r="L722" s="3" t="s">
        <v>831</v>
      </c>
    </row>
    <row r="723" spans="1:12" ht="21.95" customHeight="1">
      <c r="A723" s="1">
        <v>721</v>
      </c>
      <c r="B723" s="2" t="str">
        <f>"向东奎"</f>
        <v>向东奎</v>
      </c>
      <c r="C723" s="2" t="str">
        <f>"男"</f>
        <v>男</v>
      </c>
      <c r="D723" s="2" t="s">
        <v>17</v>
      </c>
      <c r="E723" s="2" t="s">
        <v>16</v>
      </c>
      <c r="F723" s="2" t="str">
        <f>"E2024025"</f>
        <v>E2024025</v>
      </c>
      <c r="G723" s="2" t="s">
        <v>819</v>
      </c>
      <c r="H723" s="6" t="s">
        <v>50</v>
      </c>
      <c r="I723" s="6" t="s">
        <v>34</v>
      </c>
      <c r="J723" s="15">
        <v>79.709999999999994</v>
      </c>
      <c r="K723" s="13">
        <v>1</v>
      </c>
      <c r="L723" s="1"/>
    </row>
    <row r="724" spans="1:12" ht="21.95" customHeight="1">
      <c r="A724" s="1">
        <v>722</v>
      </c>
      <c r="B724" s="2" t="str">
        <f>"谭明伟"</f>
        <v>谭明伟</v>
      </c>
      <c r="C724" s="2" t="str">
        <f>"男"</f>
        <v>男</v>
      </c>
      <c r="D724" s="2" t="s">
        <v>17</v>
      </c>
      <c r="E724" s="2" t="s">
        <v>16</v>
      </c>
      <c r="F724" s="2" t="str">
        <f>"E2024025"</f>
        <v>E2024025</v>
      </c>
      <c r="G724" s="2" t="s">
        <v>820</v>
      </c>
      <c r="H724" s="6" t="s">
        <v>50</v>
      </c>
      <c r="I724" s="6" t="s">
        <v>58</v>
      </c>
      <c r="J724" s="15">
        <v>72.92</v>
      </c>
      <c r="K724" s="13">
        <v>2</v>
      </c>
      <c r="L724" s="1"/>
    </row>
    <row r="725" spans="1:12" ht="21.95" customHeight="1">
      <c r="A725" s="1">
        <v>723</v>
      </c>
      <c r="B725" s="2" t="str">
        <f>"任茂堂"</f>
        <v>任茂堂</v>
      </c>
      <c r="C725" s="2" t="str">
        <f>"男"</f>
        <v>男</v>
      </c>
      <c r="D725" s="2" t="s">
        <v>17</v>
      </c>
      <c r="E725" s="2" t="s">
        <v>16</v>
      </c>
      <c r="F725" s="2" t="str">
        <f>"E2024025"</f>
        <v>E2024025</v>
      </c>
      <c r="G725" s="2" t="s">
        <v>821</v>
      </c>
      <c r="H725" s="6" t="s">
        <v>50</v>
      </c>
      <c r="I725" s="6" t="s">
        <v>36</v>
      </c>
      <c r="J725" s="15">
        <v>62.11</v>
      </c>
      <c r="K725" s="13">
        <v>3</v>
      </c>
      <c r="L725" s="1"/>
    </row>
    <row r="726" spans="1:12" ht="21.95" customHeight="1">
      <c r="A726" s="1">
        <v>724</v>
      </c>
      <c r="B726" s="2" t="str">
        <f>"向美玲"</f>
        <v>向美玲</v>
      </c>
      <c r="C726" s="2" t="str">
        <f>"女"</f>
        <v>女</v>
      </c>
      <c r="D726" s="2" t="s">
        <v>18</v>
      </c>
      <c r="E726" s="2" t="s">
        <v>16</v>
      </c>
      <c r="F726" s="2" t="str">
        <f>"E2024026"</f>
        <v>E2024026</v>
      </c>
      <c r="G726" s="2" t="s">
        <v>823</v>
      </c>
      <c r="H726" s="6" t="s">
        <v>50</v>
      </c>
      <c r="I726" s="6" t="s">
        <v>38</v>
      </c>
      <c r="J726" s="15">
        <v>77.06</v>
      </c>
      <c r="K726" s="13">
        <v>1</v>
      </c>
      <c r="L726" s="1"/>
    </row>
    <row r="727" spans="1:12" ht="21.95" customHeight="1">
      <c r="A727" s="1">
        <v>725</v>
      </c>
      <c r="B727" s="2" t="str">
        <f>"谭德龙"</f>
        <v>谭德龙</v>
      </c>
      <c r="C727" s="2" t="str">
        <f>"男"</f>
        <v>男</v>
      </c>
      <c r="D727" s="2" t="s">
        <v>18</v>
      </c>
      <c r="E727" s="2" t="s">
        <v>16</v>
      </c>
      <c r="F727" s="2" t="str">
        <f>"E2024026"</f>
        <v>E2024026</v>
      </c>
      <c r="G727" s="2" t="s">
        <v>822</v>
      </c>
      <c r="H727" s="6" t="s">
        <v>50</v>
      </c>
      <c r="I727" s="6" t="s">
        <v>59</v>
      </c>
      <c r="J727" s="15">
        <v>66.540000000000006</v>
      </c>
      <c r="K727" s="13">
        <v>2</v>
      </c>
      <c r="L727" s="1"/>
    </row>
    <row r="728" spans="1:12" ht="21.95" customHeight="1">
      <c r="A728" s="1">
        <v>726</v>
      </c>
      <c r="B728" s="2" t="str">
        <f>"徐媛媛"</f>
        <v>徐媛媛</v>
      </c>
      <c r="C728" s="2" t="str">
        <f>"女"</f>
        <v>女</v>
      </c>
      <c r="D728" s="2" t="s">
        <v>20</v>
      </c>
      <c r="E728" s="2" t="s">
        <v>19</v>
      </c>
      <c r="F728" s="2" t="str">
        <f>"E2024028"</f>
        <v>E2024028</v>
      </c>
      <c r="G728" s="2" t="s">
        <v>827</v>
      </c>
      <c r="H728" s="6" t="s">
        <v>50</v>
      </c>
      <c r="I728" s="6" t="s">
        <v>42</v>
      </c>
      <c r="J728" s="15">
        <v>73.7</v>
      </c>
      <c r="K728" s="13">
        <v>1</v>
      </c>
      <c r="L728" s="1"/>
    </row>
    <row r="729" spans="1:12" ht="21.95" customHeight="1">
      <c r="A729" s="1">
        <v>727</v>
      </c>
      <c r="B729" s="2" t="str">
        <f>"邹晓敏"</f>
        <v>邹晓敏</v>
      </c>
      <c r="C729" s="2" t="str">
        <f>"女"</f>
        <v>女</v>
      </c>
      <c r="D729" s="2" t="s">
        <v>20</v>
      </c>
      <c r="E729" s="2" t="s">
        <v>19</v>
      </c>
      <c r="F729" s="2" t="str">
        <f>"E2024028"</f>
        <v>E2024028</v>
      </c>
      <c r="G729" s="2" t="s">
        <v>826</v>
      </c>
      <c r="H729" s="6" t="s">
        <v>50</v>
      </c>
      <c r="I729" s="6" t="s">
        <v>61</v>
      </c>
      <c r="J729" s="15">
        <v>68.319999999999993</v>
      </c>
      <c r="K729" s="13">
        <v>2</v>
      </c>
      <c r="L729" s="1"/>
    </row>
    <row r="730" spans="1:12" ht="21.95" customHeight="1">
      <c r="A730" s="1">
        <v>728</v>
      </c>
      <c r="B730" s="2" t="str">
        <f>"梁国清"</f>
        <v>梁国清</v>
      </c>
      <c r="C730" s="2" t="str">
        <f>"女"</f>
        <v>女</v>
      </c>
      <c r="D730" s="2" t="s">
        <v>20</v>
      </c>
      <c r="E730" s="2" t="s">
        <v>19</v>
      </c>
      <c r="F730" s="2" t="str">
        <f>"E2024028"</f>
        <v>E2024028</v>
      </c>
      <c r="G730" s="2" t="s">
        <v>824</v>
      </c>
      <c r="H730" s="6" t="s">
        <v>50</v>
      </c>
      <c r="I730" s="6" t="s">
        <v>60</v>
      </c>
      <c r="J730" s="15">
        <v>60.45</v>
      </c>
      <c r="K730" s="13">
        <v>3</v>
      </c>
      <c r="L730" s="1"/>
    </row>
    <row r="731" spans="1:12" ht="21.95" customHeight="1">
      <c r="A731" s="1">
        <v>729</v>
      </c>
      <c r="B731" s="2" t="str">
        <f>"李林欣"</f>
        <v>李林欣</v>
      </c>
      <c r="C731" s="2" t="str">
        <f>"女"</f>
        <v>女</v>
      </c>
      <c r="D731" s="2" t="s">
        <v>20</v>
      </c>
      <c r="E731" s="2" t="s">
        <v>19</v>
      </c>
      <c r="F731" s="2" t="str">
        <f>"E2024028"</f>
        <v>E2024028</v>
      </c>
      <c r="G731" s="2" t="s">
        <v>828</v>
      </c>
      <c r="H731" s="6" t="s">
        <v>50</v>
      </c>
      <c r="I731" s="6" t="s">
        <v>62</v>
      </c>
      <c r="J731" s="15">
        <v>58</v>
      </c>
      <c r="K731" s="13">
        <v>4</v>
      </c>
      <c r="L731" s="1"/>
    </row>
    <row r="732" spans="1:12" ht="21.95" customHeight="1">
      <c r="A732" s="1">
        <v>730</v>
      </c>
      <c r="B732" s="2" t="str">
        <f>"佘宏垚"</f>
        <v>佘宏垚</v>
      </c>
      <c r="C732" s="2" t="str">
        <f>"女"</f>
        <v>女</v>
      </c>
      <c r="D732" s="2" t="s">
        <v>20</v>
      </c>
      <c r="E732" s="2" t="s">
        <v>19</v>
      </c>
      <c r="F732" s="2" t="str">
        <f>"E2024028"</f>
        <v>E2024028</v>
      </c>
      <c r="G732" s="2" t="s">
        <v>825</v>
      </c>
      <c r="H732" s="6" t="s">
        <v>50</v>
      </c>
      <c r="I732" s="6" t="s">
        <v>40</v>
      </c>
      <c r="J732" s="15">
        <v>56.44</v>
      </c>
      <c r="K732" s="13">
        <v>5</v>
      </c>
      <c r="L732" s="1"/>
    </row>
    <row r="733" spans="1:12" ht="21.95" customHeight="1"/>
  </sheetData>
  <sortState ref="A2:P782">
    <sortCondition ref="F2:F782"/>
    <sortCondition descending="1" ref="J2:J782"/>
  </sortState>
  <mergeCells count="1">
    <mergeCell ref="A1:L1"/>
  </mergeCells>
  <phoneticPr fontId="1" type="noConversion"/>
  <printOptions horizontalCentered="1"/>
  <pageMargins left="0.55118110236220474" right="0.55118110236220474" top="0.55118110236220474" bottom="0.55118110236220474" header="0.31496062992125984" footer="0.31496062992125984"/>
  <pageSetup paperSize="8" orientation="portrait" verticalDpi="300" r:id="rId1"/>
  <headerFooter>
    <oddFooter>第 &amp;P 页，共 &amp;N 页</oddFooter>
  </headerFooter>
  <ignoredErrors>
    <ignoredError sqref="C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成绩表</vt:lpstr>
      <vt:lpstr>成绩表!Print_Titles</vt:lpstr>
      <vt:lpstr>成绩</vt:lpstr>
      <vt:lpstr>岗位代码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2024-12-17T06:36:40Z</cp:lastPrinted>
  <dcterms:created xsi:type="dcterms:W3CDTF">2024-11-07T01:48:00Z</dcterms:created>
  <dcterms:modified xsi:type="dcterms:W3CDTF">2024-12-17T08:38:10Z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A44FFD3F456E4A07B5CA8E3075244E2C</vt:lpwstr>
  </property>
  <property fmtid="{D5CDD505-2E9C-101B-9397-08002B2CF9AE}" pid="3" name="KSOProductBuildVer">
    <vt:lpwstr>2052-11.8.2.11978</vt:lpwstr>
  </property>
</Properties>
</file>