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Sheet1!$A$2:$L$354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<sst xmlns="http://schemas.openxmlformats.org/spreadsheetml/2006/main" count="2028" uniqueCount="420">
  <si>
    <t>宣恩县事业单位2025年第一次引进高层次、紧缺急需人才笔试成绩统计表</t>
  </si>
  <si>
    <t>序号</t>
  </si>
  <si>
    <t>姓名</t>
  </si>
  <si>
    <t>性别</t>
  </si>
  <si>
    <t>招聘单位</t>
  </si>
  <si>
    <t>岗位名称</t>
  </si>
  <si>
    <t>岗位代码</t>
  </si>
  <si>
    <t>准考证号</t>
  </si>
  <si>
    <t>考场号</t>
  </si>
  <si>
    <t>座位号</t>
  </si>
  <si>
    <t>笔试成绩</t>
  </si>
  <si>
    <t>笔试成绩排名</t>
  </si>
  <si>
    <t>是否资格复审</t>
  </si>
  <si>
    <t>宣恩县铁路建设服务中心</t>
  </si>
  <si>
    <t>项目资金管理岗</t>
  </si>
  <si>
    <t>xerc20251101</t>
  </si>
  <si>
    <t>11</t>
  </si>
  <si>
    <t>01</t>
  </si>
  <si>
    <t>复审</t>
  </si>
  <si>
    <t>xerc20250124</t>
  </si>
  <si>
    <t>24</t>
  </si>
  <si>
    <t>xerc20250127</t>
  </si>
  <si>
    <t>27</t>
  </si>
  <si>
    <t>xerc20250114</t>
  </si>
  <si>
    <t>14</t>
  </si>
  <si>
    <t>xerc20250102</t>
  </si>
  <si>
    <t>02</t>
  </si>
  <si>
    <t>xerc20250116</t>
  </si>
  <si>
    <t>16</t>
  </si>
  <si>
    <t>xerc20250108</t>
  </si>
  <si>
    <t>08</t>
  </si>
  <si>
    <t>xerc20250118</t>
  </si>
  <si>
    <t>18</t>
  </si>
  <si>
    <t>xerc20250119</t>
  </si>
  <si>
    <t>19</t>
  </si>
  <si>
    <t>xerc20250122</t>
  </si>
  <si>
    <t>22</t>
  </si>
  <si>
    <t>xerc20250123</t>
  </si>
  <si>
    <t>23</t>
  </si>
  <si>
    <t>xerc20250115</t>
  </si>
  <si>
    <t>15</t>
  </si>
  <si>
    <t>xerc20250101</t>
  </si>
  <si>
    <t>缺考</t>
  </si>
  <si>
    <t>xerc20250103</t>
  </si>
  <si>
    <t>03</t>
  </si>
  <si>
    <t>xerc20250104</t>
  </si>
  <si>
    <t>04</t>
  </si>
  <si>
    <t>xerc20250105</t>
  </si>
  <si>
    <t>05</t>
  </si>
  <si>
    <t>xerc20250106</t>
  </si>
  <si>
    <t>06</t>
  </si>
  <si>
    <t>xerc20250107</t>
  </si>
  <si>
    <t>07</t>
  </si>
  <si>
    <t>xerc20250109</t>
  </si>
  <si>
    <t>09</t>
  </si>
  <si>
    <t>xerc20250110</t>
  </si>
  <si>
    <t>10</t>
  </si>
  <si>
    <t>xerc20250111</t>
  </si>
  <si>
    <t>xerc20250112</t>
  </si>
  <si>
    <t>12</t>
  </si>
  <si>
    <t>xerc20250113</t>
  </si>
  <si>
    <t>13</t>
  </si>
  <si>
    <t>xerc20250117</t>
  </si>
  <si>
    <t>17</t>
  </si>
  <si>
    <t>xerc20250120</t>
  </si>
  <si>
    <t>20</t>
  </si>
  <si>
    <t>xerc20250121</t>
  </si>
  <si>
    <t>21</t>
  </si>
  <si>
    <t>xerc20250125</t>
  </si>
  <si>
    <t>25</t>
  </si>
  <si>
    <t>xerc20250126</t>
  </si>
  <si>
    <t>26</t>
  </si>
  <si>
    <t>xerc20250128</t>
  </si>
  <si>
    <t>28</t>
  </si>
  <si>
    <t>xerc20251102</t>
  </si>
  <si>
    <t>xerc20251103</t>
  </si>
  <si>
    <t>宣恩县公共就业和人才服务中心</t>
  </si>
  <si>
    <t>系统运维岗</t>
  </si>
  <si>
    <t>xerc20250218</t>
  </si>
  <si>
    <t>xerc20250220</t>
  </si>
  <si>
    <t>xerc20250217</t>
  </si>
  <si>
    <t>xerc20250204</t>
  </si>
  <si>
    <t>xerc20250210</t>
  </si>
  <si>
    <t>xerc20250222</t>
  </si>
  <si>
    <t>xerc20250205</t>
  </si>
  <si>
    <t>xerc20250219</t>
  </si>
  <si>
    <t>xerc20250213</t>
  </si>
  <si>
    <t>xerc20250201</t>
  </si>
  <si>
    <t>xerc20250202</t>
  </si>
  <si>
    <t>xerc20250203</t>
  </si>
  <si>
    <t>xerc20250206</t>
  </si>
  <si>
    <t>xerc20250207</t>
  </si>
  <si>
    <t>xerc20250208</t>
  </si>
  <si>
    <t>xerc20250209</t>
  </si>
  <si>
    <t>xerc20250211</t>
  </si>
  <si>
    <t>xerc20250212</t>
  </si>
  <si>
    <t>xerc20250214</t>
  </si>
  <si>
    <t>xerc20250215</t>
  </si>
  <si>
    <t>xerc20250216</t>
  </si>
  <si>
    <t>xerc20250221</t>
  </si>
  <si>
    <t>宣恩县劳动权益维护中心</t>
  </si>
  <si>
    <t>法律服务岗</t>
  </si>
  <si>
    <t>xerc20250326</t>
  </si>
  <si>
    <t>xerc20250315</t>
  </si>
  <si>
    <t>xerc20250323</t>
  </si>
  <si>
    <t>xerc20250309</t>
  </si>
  <si>
    <t>xerc20250310</t>
  </si>
  <si>
    <t>xerc20250317</t>
  </si>
  <si>
    <t>xerc20250301</t>
  </si>
  <si>
    <t>xerc20250302</t>
  </si>
  <si>
    <t>xerc20250303</t>
  </si>
  <si>
    <t>xerc20250304</t>
  </si>
  <si>
    <t>xerc20250305</t>
  </si>
  <si>
    <t>xerc20250306</t>
  </si>
  <si>
    <t>xerc20250307</t>
  </si>
  <si>
    <t>xerc20250308</t>
  </si>
  <si>
    <t>xerc20250311</t>
  </si>
  <si>
    <t>xerc20250312</t>
  </si>
  <si>
    <t>xerc20250313</t>
  </si>
  <si>
    <t>xerc20250314</t>
  </si>
  <si>
    <t>xerc20250316</t>
  </si>
  <si>
    <t>xerc20250318</t>
  </si>
  <si>
    <t>xerc20250319</t>
  </si>
  <si>
    <t>xerc20250320</t>
  </si>
  <si>
    <t>xerc20250321</t>
  </si>
  <si>
    <t>xerc20250322</t>
  </si>
  <si>
    <t>xerc20250324</t>
  </si>
  <si>
    <t>xerc20250325</t>
  </si>
  <si>
    <t>xerc20250327</t>
  </si>
  <si>
    <t>xerc20250328</t>
  </si>
  <si>
    <t>劳动保障法律法规宣传岗</t>
  </si>
  <si>
    <t>xerc20250421</t>
  </si>
  <si>
    <t>xerc20250503</t>
  </si>
  <si>
    <t>xerc20250401</t>
  </si>
  <si>
    <t>xerc20250509</t>
  </si>
  <si>
    <t>xerc20250510</t>
  </si>
  <si>
    <t>xerc20250405</t>
  </si>
  <si>
    <t>xerc20250511</t>
  </si>
  <si>
    <t>xerc20250408</t>
  </si>
  <si>
    <t>xerc20250501</t>
  </si>
  <si>
    <t>xerc20250422</t>
  </si>
  <si>
    <t>xerc20250409</t>
  </si>
  <si>
    <t>xerc20250412</t>
  </si>
  <si>
    <t>xerc20250516</t>
  </si>
  <si>
    <t>xerc20250406</t>
  </si>
  <si>
    <t>xerc20250512</t>
  </si>
  <si>
    <t>xerc20250518</t>
  </si>
  <si>
    <t>xerc20250411</t>
  </si>
  <si>
    <t>xerc20250413</t>
  </si>
  <si>
    <t>xerc20250415</t>
  </si>
  <si>
    <t>xerc20250402</t>
  </si>
  <si>
    <t>xerc20250403</t>
  </si>
  <si>
    <t>xerc20250404</t>
  </si>
  <si>
    <t>xerc20250407</t>
  </si>
  <si>
    <t>xerc20250410</t>
  </si>
  <si>
    <t>xerc20250414</t>
  </si>
  <si>
    <t>xerc20250416</t>
  </si>
  <si>
    <t>xerc20250417</t>
  </si>
  <si>
    <t>xerc20250418</t>
  </si>
  <si>
    <t>xerc20250419</t>
  </si>
  <si>
    <t>xerc20250420</t>
  </si>
  <si>
    <t>xerc20250423</t>
  </si>
  <si>
    <t>xerc20250424</t>
  </si>
  <si>
    <t>xerc20250425</t>
  </si>
  <si>
    <t>xerc20250426</t>
  </si>
  <si>
    <t>xerc20250502</t>
  </si>
  <si>
    <t>xerc20250504</t>
  </si>
  <si>
    <t>xerc20250505</t>
  </si>
  <si>
    <t>xerc20250506</t>
  </si>
  <si>
    <t>xerc20250507</t>
  </si>
  <si>
    <t>xerc20250508</t>
  </si>
  <si>
    <t>xerc20250513</t>
  </si>
  <si>
    <t>xerc20250514</t>
  </si>
  <si>
    <t>xerc20250515</t>
  </si>
  <si>
    <t>xerc20250517</t>
  </si>
  <si>
    <t>xerc20250519</t>
  </si>
  <si>
    <t>xerc20250520</t>
  </si>
  <si>
    <t>xerc20250521</t>
  </si>
  <si>
    <t>xerc20250522</t>
  </si>
  <si>
    <t>xerc20250523</t>
  </si>
  <si>
    <t>xerc20250524</t>
  </si>
  <si>
    <t>xerc20250525</t>
  </si>
  <si>
    <t>xerc20250526</t>
  </si>
  <si>
    <t>宣恩县自然资源收购储备交易中心</t>
  </si>
  <si>
    <t>自然资源规划岗</t>
  </si>
  <si>
    <t>xerc20250602</t>
  </si>
  <si>
    <t>xerc20250616</t>
  </si>
  <si>
    <t>xerc20250604</t>
  </si>
  <si>
    <t>xerc20250607</t>
  </si>
  <si>
    <t>xerc20250624</t>
  </si>
  <si>
    <t>xerc20250610</t>
  </si>
  <si>
    <t>xerc20250623</t>
  </si>
  <si>
    <t>xerc20250601</t>
  </si>
  <si>
    <t>xerc20250603</t>
  </si>
  <si>
    <t>xerc20250605</t>
  </si>
  <si>
    <t>xerc20250606</t>
  </si>
  <si>
    <t>xerc20250608</t>
  </si>
  <si>
    <t>xerc20250609</t>
  </si>
  <si>
    <t>xerc20250611</t>
  </si>
  <si>
    <t>xerc20250612</t>
  </si>
  <si>
    <t>xerc20250613</t>
  </si>
  <si>
    <t>xerc20250614</t>
  </si>
  <si>
    <t>xerc20250615</t>
  </si>
  <si>
    <t>xerc20250617</t>
  </si>
  <si>
    <t>xerc20250618</t>
  </si>
  <si>
    <t>xerc20250619</t>
  </si>
  <si>
    <t>xerc20250620</t>
  </si>
  <si>
    <t>xerc20250621</t>
  </si>
  <si>
    <t>xerc20250622</t>
  </si>
  <si>
    <t>xerc20250625</t>
  </si>
  <si>
    <t>xerc20250626</t>
  </si>
  <si>
    <t>xerc20250627</t>
  </si>
  <si>
    <t>xerc20250628</t>
  </si>
  <si>
    <t>宣恩县城乡污水处理服务中心</t>
  </si>
  <si>
    <t>污水处理技术服务岗</t>
  </si>
  <si>
    <t>xerc20251222</t>
  </si>
  <si>
    <t>xerc20251221</t>
  </si>
  <si>
    <t>xerc20251214</t>
  </si>
  <si>
    <t>xerc20251226</t>
  </si>
  <si>
    <t>xerc20251216</t>
  </si>
  <si>
    <t>xerc20251227</t>
  </si>
  <si>
    <t>xerc20251213</t>
  </si>
  <si>
    <t>xerc20251215</t>
  </si>
  <si>
    <t>xerc20251217</t>
  </si>
  <si>
    <t>xerc20251218</t>
  </si>
  <si>
    <t>xerc20251219</t>
  </si>
  <si>
    <t>xerc20251220</t>
  </si>
  <si>
    <t>xerc20251223</t>
  </si>
  <si>
    <t>xerc20251224</t>
  </si>
  <si>
    <t>xerc20251225</t>
  </si>
  <si>
    <t>xerc20251228</t>
  </si>
  <si>
    <t>宣恩县水利事务服务中心</t>
  </si>
  <si>
    <t>水利业务岗</t>
  </si>
  <si>
    <t>xerc20251307</t>
  </si>
  <si>
    <t>xerc20251303</t>
  </si>
  <si>
    <t>xerc20251302</t>
  </si>
  <si>
    <t>xerc20251308</t>
  </si>
  <si>
    <t>xerc20251314</t>
  </si>
  <si>
    <t>xerc20251312</t>
  </si>
  <si>
    <t>xerc20251301</t>
  </si>
  <si>
    <t>xerc20251304</t>
  </si>
  <si>
    <t>xerc20251305</t>
  </si>
  <si>
    <t>xerc20251306</t>
  </si>
  <si>
    <t>xerc20251309</t>
  </si>
  <si>
    <t>xerc20251310</t>
  </si>
  <si>
    <t>xerc20251311</t>
  </si>
  <si>
    <t>xerc20251313</t>
  </si>
  <si>
    <t>宣恩县农机安全监理站</t>
  </si>
  <si>
    <t>农机安全技术指导岗</t>
  </si>
  <si>
    <t>xerc20251315</t>
  </si>
  <si>
    <t>宣恩县大数据中心</t>
  </si>
  <si>
    <t>xerc20251206</t>
  </si>
  <si>
    <t>xerc20251210</t>
  </si>
  <si>
    <t>xerc20251207</t>
  </si>
  <si>
    <t>xerc20250223</t>
  </si>
  <si>
    <t>xerc20251202</t>
  </si>
  <si>
    <t>xerc20251201</t>
  </si>
  <si>
    <t>xerc20251209</t>
  </si>
  <si>
    <t>xerc20250228</t>
  </si>
  <si>
    <t>xerc20250224</t>
  </si>
  <si>
    <t>xerc20250225</t>
  </si>
  <si>
    <t>xerc20250226</t>
  </si>
  <si>
    <t>xerc20250227</t>
  </si>
  <si>
    <t>xerc20251203</t>
  </si>
  <si>
    <t>xerc20251204</t>
  </si>
  <si>
    <t>xerc20251205</t>
  </si>
  <si>
    <t>xerc20251208</t>
  </si>
  <si>
    <t>xerc20251211</t>
  </si>
  <si>
    <t>xerc20251212</t>
  </si>
  <si>
    <t>宣恩县第一中学</t>
  </si>
  <si>
    <t>心理健康教育教师</t>
  </si>
  <si>
    <t>xerc20250719</t>
  </si>
  <si>
    <t>xerc20250705</t>
  </si>
  <si>
    <t>xerc20250706</t>
  </si>
  <si>
    <t>xerc20250727</t>
  </si>
  <si>
    <t>xerc20250707</t>
  </si>
  <si>
    <t>xerc20250721</t>
  </si>
  <si>
    <t>xerc20250722</t>
  </si>
  <si>
    <t>xerc20250702</t>
  </si>
  <si>
    <t>xerc20250726</t>
  </si>
  <si>
    <t>xerc20250703</t>
  </si>
  <si>
    <t>xerc20250724</t>
  </si>
  <si>
    <t>xerc20250701</t>
  </si>
  <si>
    <t>xerc20250704</t>
  </si>
  <si>
    <t>xerc20250708</t>
  </si>
  <si>
    <t>xerc20250709</t>
  </si>
  <si>
    <t>xerc20250710</t>
  </si>
  <si>
    <t>xerc20250711</t>
  </si>
  <si>
    <t>xerc20250712</t>
  </si>
  <si>
    <t>xerc20250713</t>
  </si>
  <si>
    <t>xerc20250714</t>
  </si>
  <si>
    <t>xerc20250715</t>
  </si>
  <si>
    <t>xerc20250716</t>
  </si>
  <si>
    <t>xerc20250717</t>
  </si>
  <si>
    <t>xerc20250718</t>
  </si>
  <si>
    <t>xerc20250720</t>
  </si>
  <si>
    <t>xerc20250723</t>
  </si>
  <si>
    <t>xerc20250725</t>
  </si>
  <si>
    <t>高中语文教师</t>
  </si>
  <si>
    <t>xerc20250825</t>
  </si>
  <si>
    <t>xerc20250806</t>
  </si>
  <si>
    <t>xerc20251111</t>
  </si>
  <si>
    <t>xerc20250810</t>
  </si>
  <si>
    <t>xerc20250822</t>
  </si>
  <si>
    <t>xerc20250801</t>
  </si>
  <si>
    <t>xerc20250820</t>
  </si>
  <si>
    <t>xerc20250827</t>
  </si>
  <si>
    <t>xerc20251108</t>
  </si>
  <si>
    <t>xerc20250807</t>
  </si>
  <si>
    <t>xerc20250828</t>
  </si>
  <si>
    <t>xerc20251105</t>
  </si>
  <si>
    <t>xerc20251106</t>
  </si>
  <si>
    <t>xerc20250803</t>
  </si>
  <si>
    <t>xerc20250812</t>
  </si>
  <si>
    <t>xerc20250816</t>
  </si>
  <si>
    <t>xerc20250802</t>
  </si>
  <si>
    <t>xerc20250804</t>
  </si>
  <si>
    <t>xerc20250805</t>
  </si>
  <si>
    <t>xerc20250808</t>
  </si>
  <si>
    <t>xerc20250809</t>
  </si>
  <si>
    <t>xerc20250811</t>
  </si>
  <si>
    <t>xerc20250813</t>
  </si>
  <si>
    <t>xerc20250814</t>
  </si>
  <si>
    <t>xerc20250815</t>
  </si>
  <si>
    <t>xerc20250817</t>
  </si>
  <si>
    <t>xerc20250818</t>
  </si>
  <si>
    <t>xerc20250819</t>
  </si>
  <si>
    <t>xerc20250821</t>
  </si>
  <si>
    <t>xerc20250823</t>
  </si>
  <si>
    <t>xerc20250824</t>
  </si>
  <si>
    <t>xerc20250826</t>
  </si>
  <si>
    <t>xerc20251104</t>
  </si>
  <si>
    <t>xerc20251107</t>
  </si>
  <si>
    <t>xerc20251109</t>
  </si>
  <si>
    <t>xerc20251110</t>
  </si>
  <si>
    <t>xerc20251112</t>
  </si>
  <si>
    <t>宣恩县中等职业技术学校</t>
  </si>
  <si>
    <t>中职植物栽培技术教师</t>
  </si>
  <si>
    <t>xerc20250907</t>
  </si>
  <si>
    <t>xerc20250901</t>
  </si>
  <si>
    <t>xerc20250910</t>
  </si>
  <si>
    <t>xerc20250916</t>
  </si>
  <si>
    <t>xerc20251113</t>
  </si>
  <si>
    <t>xerc20250915</t>
  </si>
  <si>
    <t>xerc20250911</t>
  </si>
  <si>
    <t>xerc20250908</t>
  </si>
  <si>
    <t>xerc20250919</t>
  </si>
  <si>
    <t>xerc20250920</t>
  </si>
  <si>
    <t>xerc20250905</t>
  </si>
  <si>
    <t>xerc20250909</t>
  </si>
  <si>
    <t>xerc20250917</t>
  </si>
  <si>
    <t>xerc20250902</t>
  </si>
  <si>
    <t>xerc20250903</t>
  </si>
  <si>
    <t>xerc20250904</t>
  </si>
  <si>
    <t>xerc20250906</t>
  </si>
  <si>
    <t>xerc20250912</t>
  </si>
  <si>
    <t>xerc20250913</t>
  </si>
  <si>
    <t>xerc20250914</t>
  </si>
  <si>
    <t>xerc20250918</t>
  </si>
  <si>
    <t>xerc20250921</t>
  </si>
  <si>
    <t>xerc20250922</t>
  </si>
  <si>
    <t>xerc20250923</t>
  </si>
  <si>
    <t>xerc20250924</t>
  </si>
  <si>
    <t>xerc20250925</t>
  </si>
  <si>
    <t>xerc20250926</t>
  </si>
  <si>
    <t>xerc20250927</t>
  </si>
  <si>
    <t>xerc20250928</t>
  </si>
  <si>
    <t>xerc20251114</t>
  </si>
  <si>
    <t>xerc20251115</t>
  </si>
  <si>
    <t>宣恩县急救中心</t>
  </si>
  <si>
    <t>医疗急救业务岗</t>
  </si>
  <si>
    <t>xerc20251320</t>
  </si>
  <si>
    <t>xerc20251325</t>
  </si>
  <si>
    <t>xerc20251323</t>
  </si>
  <si>
    <t>xerc20251322</t>
  </si>
  <si>
    <t>xerc20251319</t>
  </si>
  <si>
    <t>xerc20251328</t>
  </si>
  <si>
    <t>xerc20251317</t>
  </si>
  <si>
    <t>xerc20251326</t>
  </si>
  <si>
    <t>xerc20251316</t>
  </si>
  <si>
    <t>xerc20251318</t>
  </si>
  <si>
    <t>xerc20251321</t>
  </si>
  <si>
    <t>xerc20251324</t>
  </si>
  <si>
    <t>xerc20251327</t>
  </si>
  <si>
    <t>宣恩县中医药产业发展中心</t>
  </si>
  <si>
    <t>中医药产业发展指导岗</t>
  </si>
  <si>
    <t>xerc20251023</t>
  </si>
  <si>
    <t>xerc20251121</t>
  </si>
  <si>
    <t>xerc20251004</t>
  </si>
  <si>
    <t>xerc20251005</t>
  </si>
  <si>
    <t>xerc20251026</t>
  </si>
  <si>
    <t>xerc20251022</t>
  </si>
  <si>
    <t>xerc20251028</t>
  </si>
  <si>
    <t>xerc20251021</t>
  </si>
  <si>
    <t>xerc20251117</t>
  </si>
  <si>
    <t>xerc20251001</t>
  </si>
  <si>
    <t>xerc20251024</t>
  </si>
  <si>
    <t>xerc20251007</t>
  </si>
  <si>
    <t>xerc20251018</t>
  </si>
  <si>
    <t>xerc20251002</t>
  </si>
  <si>
    <t>xerc20251012</t>
  </si>
  <si>
    <t>xerc20251013</t>
  </si>
  <si>
    <t>xerc20251119</t>
  </si>
  <si>
    <t>xerc20251118</t>
  </si>
  <si>
    <t>xerc20251003</t>
  </si>
  <si>
    <t>xerc20251006</t>
  </si>
  <si>
    <t>xerc20251008</t>
  </si>
  <si>
    <t>xerc20251009</t>
  </si>
  <si>
    <t>xerc20251010</t>
  </si>
  <si>
    <t>xerc20251011</t>
  </si>
  <si>
    <t>xerc20251014</t>
  </si>
  <si>
    <t>xerc20251015</t>
  </si>
  <si>
    <t>xerc20251016</t>
  </si>
  <si>
    <t>xerc20251017</t>
  </si>
  <si>
    <t>xerc20251019</t>
  </si>
  <si>
    <t>xerc20251020</t>
  </si>
  <si>
    <t>xerc20251025</t>
  </si>
  <si>
    <t>xerc20251027</t>
  </si>
  <si>
    <t>xerc20251116</t>
  </si>
  <si>
    <t>xerc20251120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</si>
</sst>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6">
    <font>
      <sz val="11"/>
      <color theme="1"/>
      <name val="宋体"/>
      <charset val="134"/>
      <scheme val="minor"/>
    </font>
    <font>
      <sz val="24"/>
      <name val="黑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vertical="center" wrapText="1"/>
    </xf>
    <xf numFmtId="176" fontId="4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31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54"/>
  <sheetViews>
    <sheetView tabSelected="1" topLeftCell="A3" workbookViewId="0">
      <selection activeCell="E9" sqref="E9"/>
    </sheetView>
  </sheetViews>
  <sheetFormatPr defaultColWidth="9" defaultRowHeight="13.5"/>
  <cols>
    <col min="1" max="1" width="5.125" style="5" customWidth="1"/>
    <col min="2" max="2" width="8.60833333333333" style="5" customWidth="1"/>
    <col min="3" max="3" width="5.875" style="5" customWidth="1"/>
    <col min="4" max="4" width="16.5" style="5" customWidth="1"/>
    <col min="5" max="5" width="11.4416666666667" style="5" customWidth="1"/>
    <col min="6" max="6" width="10.125" style="5" customWidth="1"/>
    <col min="7" max="7" width="15.25" style="5" customWidth="1"/>
    <col min="8" max="8" width="9.525" style="5" customWidth="1"/>
    <col min="9" max="9" width="9" style="5" customWidth="1"/>
    <col min="10" max="10" width="13.25" style="6" customWidth="1"/>
    <col min="11" max="11" width="13.025" style="7" customWidth="1"/>
    <col min="12" max="16383" width="9" style="5"/>
    <col min="16384" max="16384" width="9" style="8"/>
  </cols>
  <sheetData>
    <row r="1" s="1" customFormat="1" ht="34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2" customFormat="1" ht="30" customHeight="1" spans="1:2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3" t="s">
        <v>10</v>
      </c>
      <c r="K2" s="10" t="s">
        <v>11</v>
      </c>
      <c r="L2" s="10" t="s">
        <v>12</v>
      </c>
      <c r="M2" s="14"/>
      <c r="N2" s="14"/>
      <c r="O2" s="15"/>
      <c r="P2" s="15"/>
      <c r="Q2" s="15"/>
      <c r="R2" s="15"/>
      <c r="S2" s="15"/>
      <c r="T2" s="20"/>
    </row>
    <row r="3" s="3" customFormat="1" ht="24" customHeight="1" spans="1:14">
      <c r="A3" s="11">
        <v>1</v>
      </c>
      <c r="B3" s="11" t="str">
        <f>"朱薇"</f>
        <v>朱薇</v>
      </c>
      <c r="C3" s="11" t="str">
        <f t="shared" ref="C3:C7" si="0">"女"</f>
        <v>女</v>
      </c>
      <c r="D3" s="11" t="s">
        <v>13</v>
      </c>
      <c r="E3" s="11" t="s">
        <v>14</v>
      </c>
      <c r="F3" s="11" t="str">
        <f t="shared" ref="F3:F33" si="1">"xerc20250101"</f>
        <v>xerc20250101</v>
      </c>
      <c r="G3" s="12" t="s">
        <v>15</v>
      </c>
      <c r="H3" s="21" t="s">
        <v>16</v>
      </c>
      <c r="I3" s="21" t="s">
        <v>17</v>
      </c>
      <c r="J3" s="16">
        <v>73</v>
      </c>
      <c r="K3" s="17">
        <f>RANK(J3,$J$3:$J$33)</f>
        <v>1</v>
      </c>
      <c r="L3" s="10" t="s">
        <v>18</v>
      </c>
      <c r="M3" s="18"/>
      <c r="N3" s="19"/>
    </row>
    <row r="4" s="3" customFormat="1" ht="24" customHeight="1" spans="1:14">
      <c r="A4" s="11">
        <v>2</v>
      </c>
      <c r="B4" s="11" t="str">
        <f>"周航宇"</f>
        <v>周航宇</v>
      </c>
      <c r="C4" s="11" t="str">
        <f t="shared" si="0"/>
        <v>女</v>
      </c>
      <c r="D4" s="11" t="s">
        <v>13</v>
      </c>
      <c r="E4" s="11" t="s">
        <v>14</v>
      </c>
      <c r="F4" s="11" t="str">
        <f t="shared" si="1"/>
        <v>xerc20250101</v>
      </c>
      <c r="G4" s="12" t="s">
        <v>19</v>
      </c>
      <c r="H4" s="21" t="s">
        <v>17</v>
      </c>
      <c r="I4" s="21" t="s">
        <v>20</v>
      </c>
      <c r="J4" s="16">
        <v>72</v>
      </c>
      <c r="K4" s="17">
        <f>RANK(J4,$J$3:$J$33)</f>
        <v>2</v>
      </c>
      <c r="L4" s="10" t="s">
        <v>18</v>
      </c>
      <c r="M4" s="18"/>
      <c r="N4" s="19"/>
    </row>
    <row r="5" s="3" customFormat="1" ht="24" customHeight="1" spans="1:14">
      <c r="A5" s="11">
        <v>3</v>
      </c>
      <c r="B5" s="11" t="str">
        <f>"李欣雨"</f>
        <v>李欣雨</v>
      </c>
      <c r="C5" s="11" t="str">
        <f t="shared" si="0"/>
        <v>女</v>
      </c>
      <c r="D5" s="11" t="s">
        <v>13</v>
      </c>
      <c r="E5" s="11" t="s">
        <v>14</v>
      </c>
      <c r="F5" s="11" t="str">
        <f t="shared" si="1"/>
        <v>xerc20250101</v>
      </c>
      <c r="G5" s="12" t="s">
        <v>21</v>
      </c>
      <c r="H5" s="21" t="s">
        <v>17</v>
      </c>
      <c r="I5" s="21" t="s">
        <v>22</v>
      </c>
      <c r="J5" s="16">
        <v>72</v>
      </c>
      <c r="K5" s="17">
        <f>RANK(J5,$J$3:$J$33)</f>
        <v>2</v>
      </c>
      <c r="L5" s="10" t="s">
        <v>18</v>
      </c>
      <c r="M5" s="18"/>
      <c r="N5" s="19"/>
    </row>
    <row r="6" s="3" customFormat="1" ht="24" customHeight="1" spans="1:14">
      <c r="A6" s="11">
        <v>4</v>
      </c>
      <c r="B6" s="11" t="str">
        <f>"许涛"</f>
        <v>许涛</v>
      </c>
      <c r="C6" s="11" t="str">
        <f t="shared" ref="C6:C9" si="2">"男"</f>
        <v>男</v>
      </c>
      <c r="D6" s="11" t="s">
        <v>13</v>
      </c>
      <c r="E6" s="11" t="s">
        <v>14</v>
      </c>
      <c r="F6" s="11" t="str">
        <f t="shared" si="1"/>
        <v>xerc20250101</v>
      </c>
      <c r="G6" s="12" t="s">
        <v>23</v>
      </c>
      <c r="H6" s="21" t="s">
        <v>17</v>
      </c>
      <c r="I6" s="21" t="s">
        <v>24</v>
      </c>
      <c r="J6" s="16">
        <v>68</v>
      </c>
      <c r="K6" s="11">
        <f>RANK(J6,$J$3:$J$33)</f>
        <v>4</v>
      </c>
      <c r="L6" s="12"/>
      <c r="M6" s="18"/>
      <c r="N6" s="19"/>
    </row>
    <row r="7" s="3" customFormat="1" ht="24" customHeight="1" spans="1:14">
      <c r="A7" s="11">
        <v>5</v>
      </c>
      <c r="B7" s="11" t="str">
        <f>"谭艳妮"</f>
        <v>谭艳妮</v>
      </c>
      <c r="C7" s="11" t="str">
        <f t="shared" si="0"/>
        <v>女</v>
      </c>
      <c r="D7" s="11" t="s">
        <v>13</v>
      </c>
      <c r="E7" s="11" t="s">
        <v>14</v>
      </c>
      <c r="F7" s="11" t="str">
        <f t="shared" si="1"/>
        <v>xerc20250101</v>
      </c>
      <c r="G7" s="12" t="s">
        <v>25</v>
      </c>
      <c r="H7" s="21" t="s">
        <v>17</v>
      </c>
      <c r="I7" s="21" t="s">
        <v>26</v>
      </c>
      <c r="J7" s="16">
        <v>67</v>
      </c>
      <c r="K7" s="11">
        <f>RANK(J7,$J$3:$J$33)</f>
        <v>5</v>
      </c>
      <c r="L7" s="12"/>
      <c r="M7" s="18"/>
      <c r="N7" s="19"/>
    </row>
    <row r="8" s="3" customFormat="1" ht="24" customHeight="1" spans="1:14">
      <c r="A8" s="11">
        <v>6</v>
      </c>
      <c r="B8" s="11" t="str">
        <f>"唐健崴"</f>
        <v>唐健崴</v>
      </c>
      <c r="C8" s="11" t="str">
        <f t="shared" si="2"/>
        <v>男</v>
      </c>
      <c r="D8" s="11" t="s">
        <v>13</v>
      </c>
      <c r="E8" s="11" t="s">
        <v>14</v>
      </c>
      <c r="F8" s="11" t="str">
        <f t="shared" si="1"/>
        <v>xerc20250101</v>
      </c>
      <c r="G8" s="12" t="s">
        <v>27</v>
      </c>
      <c r="H8" s="21" t="s">
        <v>17</v>
      </c>
      <c r="I8" s="21" t="s">
        <v>28</v>
      </c>
      <c r="J8" s="16">
        <v>63</v>
      </c>
      <c r="K8" s="11">
        <f>RANK(J8,$J$3:$J$33)</f>
        <v>6</v>
      </c>
      <c r="L8" s="12"/>
      <c r="M8" s="18"/>
      <c r="N8" s="19"/>
    </row>
    <row r="9" s="3" customFormat="1" ht="24" customHeight="1" spans="1:14">
      <c r="A9" s="11">
        <v>7</v>
      </c>
      <c r="B9" s="11" t="str">
        <f>"张承鑫"</f>
        <v>张承鑫</v>
      </c>
      <c r="C9" s="11" t="str">
        <f t="shared" si="2"/>
        <v>男</v>
      </c>
      <c r="D9" s="11" t="s">
        <v>13</v>
      </c>
      <c r="E9" s="11" t="s">
        <v>14</v>
      </c>
      <c r="F9" s="11" t="str">
        <f t="shared" si="1"/>
        <v>xerc20250101</v>
      </c>
      <c r="G9" s="12" t="s">
        <v>29</v>
      </c>
      <c r="H9" s="21" t="s">
        <v>17</v>
      </c>
      <c r="I9" s="21" t="s">
        <v>30</v>
      </c>
      <c r="J9" s="16">
        <v>61</v>
      </c>
      <c r="K9" s="11">
        <f>RANK(J9,$J$3:$J$33)</f>
        <v>7</v>
      </c>
      <c r="L9" s="12"/>
      <c r="M9" s="18"/>
      <c r="N9" s="19"/>
    </row>
    <row r="10" s="3" customFormat="1" ht="24" customHeight="1" spans="1:14">
      <c r="A10" s="11">
        <v>8</v>
      </c>
      <c r="B10" s="11" t="str">
        <f>"杨梦玲"</f>
        <v>杨梦玲</v>
      </c>
      <c r="C10" s="11" t="str">
        <f t="shared" ref="C10:C12" si="3">"女"</f>
        <v>女</v>
      </c>
      <c r="D10" s="11" t="s">
        <v>13</v>
      </c>
      <c r="E10" s="11" t="s">
        <v>14</v>
      </c>
      <c r="F10" s="11" t="str">
        <f t="shared" si="1"/>
        <v>xerc20250101</v>
      </c>
      <c r="G10" s="12" t="s">
        <v>31</v>
      </c>
      <c r="H10" s="21" t="s">
        <v>17</v>
      </c>
      <c r="I10" s="21" t="s">
        <v>32</v>
      </c>
      <c r="J10" s="16">
        <v>61</v>
      </c>
      <c r="K10" s="11">
        <f>RANK(J10,$J$3:$J$33)</f>
        <v>7</v>
      </c>
      <c r="L10" s="12"/>
      <c r="M10" s="18"/>
      <c r="N10" s="19"/>
    </row>
    <row r="11" s="3" customFormat="1" ht="24" customHeight="1" spans="1:14">
      <c r="A11" s="11">
        <v>9</v>
      </c>
      <c r="B11" s="11" t="str">
        <f>"阳海艳"</f>
        <v>阳海艳</v>
      </c>
      <c r="C11" s="11" t="str">
        <f t="shared" si="3"/>
        <v>女</v>
      </c>
      <c r="D11" s="11" t="s">
        <v>13</v>
      </c>
      <c r="E11" s="11" t="s">
        <v>14</v>
      </c>
      <c r="F11" s="11" t="str">
        <f t="shared" si="1"/>
        <v>xerc20250101</v>
      </c>
      <c r="G11" s="12" t="s">
        <v>33</v>
      </c>
      <c r="H11" s="21" t="s">
        <v>17</v>
      </c>
      <c r="I11" s="21" t="s">
        <v>34</v>
      </c>
      <c r="J11" s="16">
        <v>60</v>
      </c>
      <c r="K11" s="11">
        <f>RANK(J11,$J$3:$J$33)</f>
        <v>9</v>
      </c>
      <c r="L11" s="12"/>
      <c r="M11" s="18"/>
      <c r="N11" s="19"/>
    </row>
    <row r="12" s="3" customFormat="1" ht="24" customHeight="1" spans="1:14">
      <c r="A12" s="11">
        <v>10</v>
      </c>
      <c r="B12" s="11" t="str">
        <f>"秦芩"</f>
        <v>秦芩</v>
      </c>
      <c r="C12" s="11" t="str">
        <f t="shared" si="3"/>
        <v>女</v>
      </c>
      <c r="D12" s="11" t="s">
        <v>13</v>
      </c>
      <c r="E12" s="11" t="s">
        <v>14</v>
      </c>
      <c r="F12" s="11" t="str">
        <f t="shared" si="1"/>
        <v>xerc20250101</v>
      </c>
      <c r="G12" s="12" t="s">
        <v>35</v>
      </c>
      <c r="H12" s="21" t="s">
        <v>17</v>
      </c>
      <c r="I12" s="21" t="s">
        <v>36</v>
      </c>
      <c r="J12" s="16">
        <v>60</v>
      </c>
      <c r="K12" s="11">
        <f>RANK(J12,$J$3:$J$33)</f>
        <v>9</v>
      </c>
      <c r="L12" s="12"/>
      <c r="M12" s="18"/>
      <c r="N12" s="19"/>
    </row>
    <row r="13" s="3" customFormat="1" ht="24" customHeight="1" spans="1:14">
      <c r="A13" s="11">
        <v>11</v>
      </c>
      <c r="B13" s="11" t="str">
        <f>"吴极"</f>
        <v>吴极</v>
      </c>
      <c r="C13" s="11" t="str">
        <f>"男"</f>
        <v>男</v>
      </c>
      <c r="D13" s="11" t="s">
        <v>13</v>
      </c>
      <c r="E13" s="11" t="s">
        <v>14</v>
      </c>
      <c r="F13" s="11" t="str">
        <f t="shared" si="1"/>
        <v>xerc20250101</v>
      </c>
      <c r="G13" s="12" t="s">
        <v>37</v>
      </c>
      <c r="H13" s="21" t="s">
        <v>17</v>
      </c>
      <c r="I13" s="21" t="s">
        <v>38</v>
      </c>
      <c r="J13" s="16">
        <v>59</v>
      </c>
      <c r="K13" s="11">
        <f>RANK(J13,$J$3:$J$33)</f>
        <v>11</v>
      </c>
      <c r="L13" s="12"/>
      <c r="M13" s="18"/>
      <c r="N13" s="19"/>
    </row>
    <row r="14" s="3" customFormat="1" ht="24" customHeight="1" spans="1:14">
      <c r="A14" s="11">
        <v>12</v>
      </c>
      <c r="B14" s="11" t="str">
        <f>"邓菁菁"</f>
        <v>邓菁菁</v>
      </c>
      <c r="C14" s="11" t="str">
        <f t="shared" ref="C14:C25" si="4">"女"</f>
        <v>女</v>
      </c>
      <c r="D14" s="11" t="s">
        <v>13</v>
      </c>
      <c r="E14" s="11" t="s">
        <v>14</v>
      </c>
      <c r="F14" s="11" t="str">
        <f t="shared" si="1"/>
        <v>xerc20250101</v>
      </c>
      <c r="G14" s="12" t="s">
        <v>39</v>
      </c>
      <c r="H14" s="21" t="s">
        <v>17</v>
      </c>
      <c r="I14" s="21" t="s">
        <v>40</v>
      </c>
      <c r="J14" s="16">
        <v>44</v>
      </c>
      <c r="K14" s="11">
        <f>RANK(J14,$J$3:$J$33)</f>
        <v>12</v>
      </c>
      <c r="L14" s="12"/>
      <c r="M14" s="18"/>
      <c r="N14" s="19"/>
    </row>
    <row r="15" s="3" customFormat="1" ht="24" customHeight="1" spans="1:14">
      <c r="A15" s="11">
        <v>13</v>
      </c>
      <c r="B15" s="11" t="str">
        <f>"蒲静怡"</f>
        <v>蒲静怡</v>
      </c>
      <c r="C15" s="11" t="str">
        <f t="shared" si="4"/>
        <v>女</v>
      </c>
      <c r="D15" s="11" t="s">
        <v>13</v>
      </c>
      <c r="E15" s="11" t="s">
        <v>14</v>
      </c>
      <c r="F15" s="11" t="str">
        <f t="shared" si="1"/>
        <v>xerc20250101</v>
      </c>
      <c r="G15" s="12" t="s">
        <v>41</v>
      </c>
      <c r="H15" s="21" t="s">
        <v>17</v>
      </c>
      <c r="I15" s="21" t="s">
        <v>17</v>
      </c>
      <c r="J15" s="16" t="s">
        <v>42</v>
      </c>
      <c r="K15" s="11"/>
      <c r="L15" s="12"/>
      <c r="M15" s="18"/>
      <c r="N15" s="19"/>
    </row>
    <row r="16" s="3" customFormat="1" ht="24" customHeight="1" spans="1:14">
      <c r="A16" s="11">
        <v>14</v>
      </c>
      <c r="B16" s="11" t="str">
        <f>"李婷婷"</f>
        <v>李婷婷</v>
      </c>
      <c r="C16" s="11" t="str">
        <f t="shared" si="4"/>
        <v>女</v>
      </c>
      <c r="D16" s="11" t="s">
        <v>13</v>
      </c>
      <c r="E16" s="11" t="s">
        <v>14</v>
      </c>
      <c r="F16" s="11" t="str">
        <f t="shared" si="1"/>
        <v>xerc20250101</v>
      </c>
      <c r="G16" s="12" t="s">
        <v>43</v>
      </c>
      <c r="H16" s="21" t="s">
        <v>17</v>
      </c>
      <c r="I16" s="21" t="s">
        <v>44</v>
      </c>
      <c r="J16" s="16" t="s">
        <v>42</v>
      </c>
      <c r="K16" s="11"/>
      <c r="L16" s="12"/>
      <c r="M16" s="18"/>
      <c r="N16" s="19"/>
    </row>
    <row r="17" s="3" customFormat="1" ht="24" customHeight="1" spans="1:14">
      <c r="A17" s="11">
        <v>15</v>
      </c>
      <c r="B17" s="11" t="str">
        <f>"王倩"</f>
        <v>王倩</v>
      </c>
      <c r="C17" s="11" t="str">
        <f t="shared" si="4"/>
        <v>女</v>
      </c>
      <c r="D17" s="11" t="s">
        <v>13</v>
      </c>
      <c r="E17" s="11" t="s">
        <v>14</v>
      </c>
      <c r="F17" s="11" t="str">
        <f t="shared" si="1"/>
        <v>xerc20250101</v>
      </c>
      <c r="G17" s="12" t="s">
        <v>45</v>
      </c>
      <c r="H17" s="21" t="s">
        <v>17</v>
      </c>
      <c r="I17" s="21" t="s">
        <v>46</v>
      </c>
      <c r="J17" s="16" t="s">
        <v>42</v>
      </c>
      <c r="K17" s="11"/>
      <c r="L17" s="12"/>
      <c r="M17" s="18"/>
      <c r="N17" s="19"/>
    </row>
    <row r="18" s="3" customFormat="1" ht="24" customHeight="1" spans="1:14">
      <c r="A18" s="11">
        <v>16</v>
      </c>
      <c r="B18" s="11" t="str">
        <f>"张梦婷"</f>
        <v>张梦婷</v>
      </c>
      <c r="C18" s="11" t="str">
        <f t="shared" si="4"/>
        <v>女</v>
      </c>
      <c r="D18" s="11" t="s">
        <v>13</v>
      </c>
      <c r="E18" s="11" t="s">
        <v>14</v>
      </c>
      <c r="F18" s="11" t="str">
        <f t="shared" si="1"/>
        <v>xerc20250101</v>
      </c>
      <c r="G18" s="12" t="s">
        <v>47</v>
      </c>
      <c r="H18" s="21" t="s">
        <v>17</v>
      </c>
      <c r="I18" s="21" t="s">
        <v>48</v>
      </c>
      <c r="J18" s="16" t="s">
        <v>42</v>
      </c>
      <c r="K18" s="11"/>
      <c r="L18" s="12"/>
      <c r="M18" s="18"/>
      <c r="N18" s="19"/>
    </row>
    <row r="19" s="3" customFormat="1" ht="24" customHeight="1" spans="1:14">
      <c r="A19" s="11">
        <v>17</v>
      </c>
      <c r="B19" s="11" t="str">
        <f>"屈鹭"</f>
        <v>屈鹭</v>
      </c>
      <c r="C19" s="11" t="str">
        <f t="shared" si="4"/>
        <v>女</v>
      </c>
      <c r="D19" s="11" t="s">
        <v>13</v>
      </c>
      <c r="E19" s="11" t="s">
        <v>14</v>
      </c>
      <c r="F19" s="11" t="str">
        <f t="shared" si="1"/>
        <v>xerc20250101</v>
      </c>
      <c r="G19" s="12" t="s">
        <v>49</v>
      </c>
      <c r="H19" s="21" t="s">
        <v>17</v>
      </c>
      <c r="I19" s="21" t="s">
        <v>50</v>
      </c>
      <c r="J19" s="16" t="s">
        <v>42</v>
      </c>
      <c r="K19" s="11"/>
      <c r="L19" s="12"/>
      <c r="M19" s="18"/>
      <c r="N19" s="19"/>
    </row>
    <row r="20" s="3" customFormat="1" ht="24" customHeight="1" spans="1:14">
      <c r="A20" s="11">
        <v>18</v>
      </c>
      <c r="B20" s="11" t="str">
        <f>"敖文洁"</f>
        <v>敖文洁</v>
      </c>
      <c r="C20" s="11" t="str">
        <f t="shared" si="4"/>
        <v>女</v>
      </c>
      <c r="D20" s="11" t="s">
        <v>13</v>
      </c>
      <c r="E20" s="11" t="s">
        <v>14</v>
      </c>
      <c r="F20" s="11" t="str">
        <f t="shared" si="1"/>
        <v>xerc20250101</v>
      </c>
      <c r="G20" s="12" t="s">
        <v>51</v>
      </c>
      <c r="H20" s="21" t="s">
        <v>17</v>
      </c>
      <c r="I20" s="21" t="s">
        <v>52</v>
      </c>
      <c r="J20" s="16" t="s">
        <v>42</v>
      </c>
      <c r="K20" s="11"/>
      <c r="L20" s="12"/>
      <c r="M20" s="18"/>
      <c r="N20" s="19"/>
    </row>
    <row r="21" s="3" customFormat="1" ht="24" customHeight="1" spans="1:14">
      <c r="A21" s="11">
        <v>19</v>
      </c>
      <c r="B21" s="11" t="str">
        <f>"朱玲敏"</f>
        <v>朱玲敏</v>
      </c>
      <c r="C21" s="11" t="str">
        <f t="shared" si="4"/>
        <v>女</v>
      </c>
      <c r="D21" s="11" t="s">
        <v>13</v>
      </c>
      <c r="E21" s="11" t="s">
        <v>14</v>
      </c>
      <c r="F21" s="11" t="str">
        <f t="shared" si="1"/>
        <v>xerc20250101</v>
      </c>
      <c r="G21" s="12" t="s">
        <v>53</v>
      </c>
      <c r="H21" s="21" t="s">
        <v>17</v>
      </c>
      <c r="I21" s="21" t="s">
        <v>54</v>
      </c>
      <c r="J21" s="16" t="s">
        <v>42</v>
      </c>
      <c r="K21" s="11"/>
      <c r="L21" s="12"/>
      <c r="M21" s="18"/>
      <c r="N21" s="19"/>
    </row>
    <row r="22" s="3" customFormat="1" ht="24" customHeight="1" spans="1:14">
      <c r="A22" s="11">
        <v>20</v>
      </c>
      <c r="B22" s="11" t="str">
        <f>"桑吉纷"</f>
        <v>桑吉纷</v>
      </c>
      <c r="C22" s="11" t="str">
        <f t="shared" si="4"/>
        <v>女</v>
      </c>
      <c r="D22" s="11" t="s">
        <v>13</v>
      </c>
      <c r="E22" s="11" t="s">
        <v>14</v>
      </c>
      <c r="F22" s="11" t="str">
        <f t="shared" si="1"/>
        <v>xerc20250101</v>
      </c>
      <c r="G22" s="12" t="s">
        <v>55</v>
      </c>
      <c r="H22" s="21" t="s">
        <v>17</v>
      </c>
      <c r="I22" s="21" t="s">
        <v>56</v>
      </c>
      <c r="J22" s="16" t="s">
        <v>42</v>
      </c>
      <c r="K22" s="11"/>
      <c r="L22" s="12"/>
      <c r="M22" s="18"/>
      <c r="N22" s="19"/>
    </row>
    <row r="23" s="3" customFormat="1" ht="24" customHeight="1" spans="1:14">
      <c r="A23" s="11">
        <v>21</v>
      </c>
      <c r="B23" s="11" t="str">
        <f>"邢宗秋"</f>
        <v>邢宗秋</v>
      </c>
      <c r="C23" s="11" t="str">
        <f t="shared" si="4"/>
        <v>女</v>
      </c>
      <c r="D23" s="11" t="s">
        <v>13</v>
      </c>
      <c r="E23" s="11" t="s">
        <v>14</v>
      </c>
      <c r="F23" s="11" t="str">
        <f t="shared" si="1"/>
        <v>xerc20250101</v>
      </c>
      <c r="G23" s="12" t="s">
        <v>57</v>
      </c>
      <c r="H23" s="21" t="s">
        <v>17</v>
      </c>
      <c r="I23" s="21" t="s">
        <v>16</v>
      </c>
      <c r="J23" s="16" t="s">
        <v>42</v>
      </c>
      <c r="K23" s="11"/>
      <c r="L23" s="12"/>
      <c r="M23" s="18"/>
      <c r="N23" s="19"/>
    </row>
    <row r="24" s="3" customFormat="1" ht="24" customHeight="1" spans="1:14">
      <c r="A24" s="11">
        <v>22</v>
      </c>
      <c r="B24" s="11" t="str">
        <f>"杨双庆"</f>
        <v>杨双庆</v>
      </c>
      <c r="C24" s="11" t="str">
        <f t="shared" si="4"/>
        <v>女</v>
      </c>
      <c r="D24" s="11" t="s">
        <v>13</v>
      </c>
      <c r="E24" s="11" t="s">
        <v>14</v>
      </c>
      <c r="F24" s="11" t="str">
        <f t="shared" si="1"/>
        <v>xerc20250101</v>
      </c>
      <c r="G24" s="12" t="s">
        <v>58</v>
      </c>
      <c r="H24" s="21" t="s">
        <v>17</v>
      </c>
      <c r="I24" s="21" t="s">
        <v>59</v>
      </c>
      <c r="J24" s="16" t="s">
        <v>42</v>
      </c>
      <c r="K24" s="11"/>
      <c r="L24" s="12"/>
      <c r="M24" s="18"/>
      <c r="N24" s="19"/>
    </row>
    <row r="25" s="3" customFormat="1" ht="24" customHeight="1" spans="1:14">
      <c r="A25" s="11">
        <v>23</v>
      </c>
      <c r="B25" s="11" t="str">
        <f>"张晓庆"</f>
        <v>张晓庆</v>
      </c>
      <c r="C25" s="11" t="str">
        <f t="shared" si="4"/>
        <v>女</v>
      </c>
      <c r="D25" s="11" t="s">
        <v>13</v>
      </c>
      <c r="E25" s="11" t="s">
        <v>14</v>
      </c>
      <c r="F25" s="11" t="str">
        <f t="shared" si="1"/>
        <v>xerc20250101</v>
      </c>
      <c r="G25" s="12" t="s">
        <v>60</v>
      </c>
      <c r="H25" s="21" t="s">
        <v>17</v>
      </c>
      <c r="I25" s="21" t="s">
        <v>61</v>
      </c>
      <c r="J25" s="16" t="s">
        <v>42</v>
      </c>
      <c r="K25" s="11"/>
      <c r="L25" s="12"/>
      <c r="M25" s="18"/>
      <c r="N25" s="19"/>
    </row>
    <row r="26" s="3" customFormat="1" ht="24" customHeight="1" spans="1:14">
      <c r="A26" s="11">
        <v>24</v>
      </c>
      <c r="B26" s="11" t="str">
        <f>"张金林"</f>
        <v>张金林</v>
      </c>
      <c r="C26" s="11" t="str">
        <f>"男"</f>
        <v>男</v>
      </c>
      <c r="D26" s="11" t="s">
        <v>13</v>
      </c>
      <c r="E26" s="11" t="s">
        <v>14</v>
      </c>
      <c r="F26" s="11" t="str">
        <f t="shared" si="1"/>
        <v>xerc20250101</v>
      </c>
      <c r="G26" s="12" t="s">
        <v>62</v>
      </c>
      <c r="H26" s="21" t="s">
        <v>17</v>
      </c>
      <c r="I26" s="21" t="s">
        <v>63</v>
      </c>
      <c r="J26" s="16" t="s">
        <v>42</v>
      </c>
      <c r="K26" s="11"/>
      <c r="L26" s="12"/>
      <c r="M26" s="18"/>
      <c r="N26" s="19"/>
    </row>
    <row r="27" s="3" customFormat="1" ht="24" customHeight="1" spans="1:14">
      <c r="A27" s="11">
        <v>25</v>
      </c>
      <c r="B27" s="11" t="str">
        <f>"黄妍"</f>
        <v>黄妍</v>
      </c>
      <c r="C27" s="11" t="str">
        <f t="shared" ref="C27:C30" si="5">"女"</f>
        <v>女</v>
      </c>
      <c r="D27" s="11" t="s">
        <v>13</v>
      </c>
      <c r="E27" s="11" t="s">
        <v>14</v>
      </c>
      <c r="F27" s="11" t="str">
        <f t="shared" si="1"/>
        <v>xerc20250101</v>
      </c>
      <c r="G27" s="12" t="s">
        <v>64</v>
      </c>
      <c r="H27" s="21" t="s">
        <v>17</v>
      </c>
      <c r="I27" s="21" t="s">
        <v>65</v>
      </c>
      <c r="J27" s="16" t="s">
        <v>42</v>
      </c>
      <c r="K27" s="11"/>
      <c r="L27" s="12"/>
      <c r="M27" s="18"/>
      <c r="N27" s="19"/>
    </row>
    <row r="28" s="3" customFormat="1" ht="24" customHeight="1" spans="1:14">
      <c r="A28" s="11">
        <v>26</v>
      </c>
      <c r="B28" s="11" t="str">
        <f>"冉亚婷"</f>
        <v>冉亚婷</v>
      </c>
      <c r="C28" s="11" t="str">
        <f t="shared" si="5"/>
        <v>女</v>
      </c>
      <c r="D28" s="11" t="s">
        <v>13</v>
      </c>
      <c r="E28" s="11" t="s">
        <v>14</v>
      </c>
      <c r="F28" s="11" t="str">
        <f t="shared" si="1"/>
        <v>xerc20250101</v>
      </c>
      <c r="G28" s="12" t="s">
        <v>66</v>
      </c>
      <c r="H28" s="21" t="s">
        <v>17</v>
      </c>
      <c r="I28" s="21" t="s">
        <v>67</v>
      </c>
      <c r="J28" s="16" t="s">
        <v>42</v>
      </c>
      <c r="K28" s="11"/>
      <c r="L28" s="12"/>
      <c r="M28" s="18"/>
      <c r="N28" s="19"/>
    </row>
    <row r="29" s="3" customFormat="1" ht="24" customHeight="1" spans="1:14">
      <c r="A29" s="11">
        <v>27</v>
      </c>
      <c r="B29" s="11" t="str">
        <f>"杨睫"</f>
        <v>杨睫</v>
      </c>
      <c r="C29" s="11" t="str">
        <f t="shared" si="5"/>
        <v>女</v>
      </c>
      <c r="D29" s="11" t="s">
        <v>13</v>
      </c>
      <c r="E29" s="11" t="s">
        <v>14</v>
      </c>
      <c r="F29" s="11" t="str">
        <f t="shared" si="1"/>
        <v>xerc20250101</v>
      </c>
      <c r="G29" s="12" t="s">
        <v>68</v>
      </c>
      <c r="H29" s="21" t="s">
        <v>17</v>
      </c>
      <c r="I29" s="21" t="s">
        <v>69</v>
      </c>
      <c r="J29" s="16" t="s">
        <v>42</v>
      </c>
      <c r="K29" s="11"/>
      <c r="L29" s="12"/>
      <c r="M29" s="18"/>
      <c r="N29" s="19"/>
    </row>
    <row r="30" s="3" customFormat="1" ht="24" customHeight="1" spans="1:14">
      <c r="A30" s="11">
        <v>28</v>
      </c>
      <c r="B30" s="11" t="str">
        <f>"谭晶晶"</f>
        <v>谭晶晶</v>
      </c>
      <c r="C30" s="11" t="str">
        <f t="shared" si="5"/>
        <v>女</v>
      </c>
      <c r="D30" s="11" t="s">
        <v>13</v>
      </c>
      <c r="E30" s="11" t="s">
        <v>14</v>
      </c>
      <c r="F30" s="11" t="str">
        <f t="shared" si="1"/>
        <v>xerc20250101</v>
      </c>
      <c r="G30" s="12" t="s">
        <v>70</v>
      </c>
      <c r="H30" s="21" t="s">
        <v>17</v>
      </c>
      <c r="I30" s="21" t="s">
        <v>71</v>
      </c>
      <c r="J30" s="16" t="s">
        <v>42</v>
      </c>
      <c r="K30" s="11"/>
      <c r="L30" s="12"/>
      <c r="M30" s="18"/>
      <c r="N30" s="19"/>
    </row>
    <row r="31" s="3" customFormat="1" ht="30" customHeight="1" spans="1:14">
      <c r="A31" s="11">
        <v>29</v>
      </c>
      <c r="B31" s="11" t="str">
        <f>"李自强"</f>
        <v>李自强</v>
      </c>
      <c r="C31" s="11" t="str">
        <f t="shared" ref="C31:C38" si="6">"男"</f>
        <v>男</v>
      </c>
      <c r="D31" s="11" t="s">
        <v>13</v>
      </c>
      <c r="E31" s="11" t="s">
        <v>14</v>
      </c>
      <c r="F31" s="11" t="str">
        <f t="shared" si="1"/>
        <v>xerc20250101</v>
      </c>
      <c r="G31" s="12" t="s">
        <v>72</v>
      </c>
      <c r="H31" s="21" t="s">
        <v>17</v>
      </c>
      <c r="I31" s="21" t="s">
        <v>73</v>
      </c>
      <c r="J31" s="16" t="s">
        <v>42</v>
      </c>
      <c r="K31" s="11"/>
      <c r="L31" s="12"/>
      <c r="M31" s="18"/>
      <c r="N31" s="19"/>
    </row>
    <row r="32" s="3" customFormat="1" ht="30" customHeight="1" spans="1:14">
      <c r="A32" s="11">
        <v>30</v>
      </c>
      <c r="B32" s="11" t="str">
        <f>"张利华"</f>
        <v>张利华</v>
      </c>
      <c r="C32" s="11" t="str">
        <f>"女"</f>
        <v>女</v>
      </c>
      <c r="D32" s="11" t="s">
        <v>13</v>
      </c>
      <c r="E32" s="11" t="s">
        <v>14</v>
      </c>
      <c r="F32" s="11" t="str">
        <f t="shared" si="1"/>
        <v>xerc20250101</v>
      </c>
      <c r="G32" s="12" t="s">
        <v>74</v>
      </c>
      <c r="H32" s="21" t="s">
        <v>16</v>
      </c>
      <c r="I32" s="21" t="s">
        <v>26</v>
      </c>
      <c r="J32" s="16" t="s">
        <v>42</v>
      </c>
      <c r="K32" s="11"/>
      <c r="L32" s="12"/>
      <c r="M32" s="18"/>
      <c r="N32" s="19"/>
    </row>
    <row r="33" s="3" customFormat="1" ht="30" customHeight="1" spans="1:14">
      <c r="A33" s="11">
        <v>31</v>
      </c>
      <c r="B33" s="11" t="str">
        <f>"王福玲"</f>
        <v>王福玲</v>
      </c>
      <c r="C33" s="11" t="str">
        <f>"女"</f>
        <v>女</v>
      </c>
      <c r="D33" s="11" t="s">
        <v>13</v>
      </c>
      <c r="E33" s="11" t="s">
        <v>14</v>
      </c>
      <c r="F33" s="11" t="str">
        <f t="shared" si="1"/>
        <v>xerc20250101</v>
      </c>
      <c r="G33" s="12" t="s">
        <v>75</v>
      </c>
      <c r="H33" s="21" t="s">
        <v>16</v>
      </c>
      <c r="I33" s="21" t="s">
        <v>44</v>
      </c>
      <c r="J33" s="16" t="s">
        <v>42</v>
      </c>
      <c r="K33" s="11"/>
      <c r="L33" s="12"/>
      <c r="M33" s="18"/>
      <c r="N33" s="19"/>
    </row>
    <row r="34" s="3" customFormat="1" ht="30" customHeight="1" spans="1:14">
      <c r="A34" s="11">
        <v>32</v>
      </c>
      <c r="B34" s="11" t="str">
        <f>"李义"</f>
        <v>李义</v>
      </c>
      <c r="C34" s="11" t="str">
        <f t="shared" si="6"/>
        <v>男</v>
      </c>
      <c r="D34" s="11" t="s">
        <v>76</v>
      </c>
      <c r="E34" s="11" t="s">
        <v>77</v>
      </c>
      <c r="F34" s="11" t="str">
        <f t="shared" ref="F34:F55" si="7">"xerc20250102"</f>
        <v>xerc20250102</v>
      </c>
      <c r="G34" s="12" t="s">
        <v>78</v>
      </c>
      <c r="H34" s="21" t="s">
        <v>26</v>
      </c>
      <c r="I34" s="21" t="s">
        <v>32</v>
      </c>
      <c r="J34" s="16">
        <v>76</v>
      </c>
      <c r="K34" s="17">
        <f t="shared" ref="K34:K42" si="8">RANK(J34,$J$34:$J$55)</f>
        <v>1</v>
      </c>
      <c r="L34" s="10" t="s">
        <v>18</v>
      </c>
      <c r="M34" s="18"/>
      <c r="N34" s="19"/>
    </row>
    <row r="35" s="3" customFormat="1" ht="30" customHeight="1" spans="1:14">
      <c r="A35" s="11">
        <v>33</v>
      </c>
      <c r="B35" s="11" t="str">
        <f>"梅宏伟"</f>
        <v>梅宏伟</v>
      </c>
      <c r="C35" s="11" t="str">
        <f t="shared" si="6"/>
        <v>男</v>
      </c>
      <c r="D35" s="11" t="s">
        <v>76</v>
      </c>
      <c r="E35" s="11" t="s">
        <v>77</v>
      </c>
      <c r="F35" s="11" t="str">
        <f t="shared" si="7"/>
        <v>xerc20250102</v>
      </c>
      <c r="G35" s="12" t="s">
        <v>79</v>
      </c>
      <c r="H35" s="21" t="s">
        <v>26</v>
      </c>
      <c r="I35" s="21" t="s">
        <v>65</v>
      </c>
      <c r="J35" s="16">
        <v>72</v>
      </c>
      <c r="K35" s="17">
        <f t="shared" si="8"/>
        <v>2</v>
      </c>
      <c r="L35" s="10" t="s">
        <v>18</v>
      </c>
      <c r="M35" s="18"/>
      <c r="N35" s="19"/>
    </row>
    <row r="36" s="3" customFormat="1" ht="30" customHeight="1" spans="1:14">
      <c r="A36" s="11">
        <v>34</v>
      </c>
      <c r="B36" s="11" t="str">
        <f>"李东阳"</f>
        <v>李东阳</v>
      </c>
      <c r="C36" s="11" t="str">
        <f t="shared" si="6"/>
        <v>男</v>
      </c>
      <c r="D36" s="11" t="s">
        <v>76</v>
      </c>
      <c r="E36" s="11" t="s">
        <v>77</v>
      </c>
      <c r="F36" s="11" t="str">
        <f t="shared" si="7"/>
        <v>xerc20250102</v>
      </c>
      <c r="G36" s="12" t="s">
        <v>80</v>
      </c>
      <c r="H36" s="21" t="s">
        <v>26</v>
      </c>
      <c r="I36" s="21" t="s">
        <v>63</v>
      </c>
      <c r="J36" s="16">
        <v>66</v>
      </c>
      <c r="K36" s="17">
        <f t="shared" si="8"/>
        <v>3</v>
      </c>
      <c r="L36" s="10" t="s">
        <v>18</v>
      </c>
      <c r="M36" s="18"/>
      <c r="N36" s="19"/>
    </row>
    <row r="37" s="3" customFormat="1" ht="30" customHeight="1" spans="1:14">
      <c r="A37" s="11">
        <v>35</v>
      </c>
      <c r="B37" s="11" t="str">
        <f>"王琨添"</f>
        <v>王琨添</v>
      </c>
      <c r="C37" s="11" t="str">
        <f t="shared" si="6"/>
        <v>男</v>
      </c>
      <c r="D37" s="11" t="s">
        <v>76</v>
      </c>
      <c r="E37" s="11" t="s">
        <v>77</v>
      </c>
      <c r="F37" s="11" t="str">
        <f t="shared" si="7"/>
        <v>xerc20250102</v>
      </c>
      <c r="G37" s="12" t="s">
        <v>81</v>
      </c>
      <c r="H37" s="21" t="s">
        <v>26</v>
      </c>
      <c r="I37" s="21" t="s">
        <v>46</v>
      </c>
      <c r="J37" s="16">
        <v>63</v>
      </c>
      <c r="K37" s="11">
        <f t="shared" si="8"/>
        <v>4</v>
      </c>
      <c r="L37" s="12"/>
      <c r="M37" s="18"/>
      <c r="N37" s="19"/>
    </row>
    <row r="38" s="3" customFormat="1" ht="30" customHeight="1" spans="1:14">
      <c r="A38" s="11">
        <v>36</v>
      </c>
      <c r="B38" s="11" t="str">
        <f>"付赟曦"</f>
        <v>付赟曦</v>
      </c>
      <c r="C38" s="11" t="str">
        <f t="shared" si="6"/>
        <v>男</v>
      </c>
      <c r="D38" s="11" t="s">
        <v>76</v>
      </c>
      <c r="E38" s="11" t="s">
        <v>77</v>
      </c>
      <c r="F38" s="11" t="str">
        <f t="shared" si="7"/>
        <v>xerc20250102</v>
      </c>
      <c r="G38" s="12" t="s">
        <v>82</v>
      </c>
      <c r="H38" s="21" t="s">
        <v>26</v>
      </c>
      <c r="I38" s="21" t="s">
        <v>56</v>
      </c>
      <c r="J38" s="16">
        <v>63</v>
      </c>
      <c r="K38" s="11">
        <f t="shared" si="8"/>
        <v>4</v>
      </c>
      <c r="L38" s="12"/>
      <c r="M38" s="18"/>
      <c r="N38" s="19"/>
    </row>
    <row r="39" s="3" customFormat="1" ht="30" customHeight="1" spans="1:14">
      <c r="A39" s="11">
        <v>37</v>
      </c>
      <c r="B39" s="11" t="str">
        <f>"向贵菊"</f>
        <v>向贵菊</v>
      </c>
      <c r="C39" s="11" t="str">
        <f t="shared" ref="C39:C44" si="9">"女"</f>
        <v>女</v>
      </c>
      <c r="D39" s="11" t="s">
        <v>76</v>
      </c>
      <c r="E39" s="11" t="s">
        <v>77</v>
      </c>
      <c r="F39" s="11" t="str">
        <f t="shared" si="7"/>
        <v>xerc20250102</v>
      </c>
      <c r="G39" s="12" t="s">
        <v>83</v>
      </c>
      <c r="H39" s="21" t="s">
        <v>26</v>
      </c>
      <c r="I39" s="21" t="s">
        <v>36</v>
      </c>
      <c r="J39" s="16">
        <v>60</v>
      </c>
      <c r="K39" s="11">
        <f t="shared" si="8"/>
        <v>6</v>
      </c>
      <c r="L39" s="12"/>
      <c r="M39" s="18"/>
      <c r="N39" s="19"/>
    </row>
    <row r="40" s="3" customFormat="1" ht="30" customHeight="1" spans="1:14">
      <c r="A40" s="11">
        <v>38</v>
      </c>
      <c r="B40" s="11" t="str">
        <f>"田红延"</f>
        <v>田红延</v>
      </c>
      <c r="C40" s="11" t="str">
        <f t="shared" ref="C40:C53" si="10">"男"</f>
        <v>男</v>
      </c>
      <c r="D40" s="11" t="s">
        <v>76</v>
      </c>
      <c r="E40" s="11" t="s">
        <v>77</v>
      </c>
      <c r="F40" s="11" t="str">
        <f t="shared" si="7"/>
        <v>xerc20250102</v>
      </c>
      <c r="G40" s="12" t="s">
        <v>84</v>
      </c>
      <c r="H40" s="21" t="s">
        <v>26</v>
      </c>
      <c r="I40" s="21" t="s">
        <v>48</v>
      </c>
      <c r="J40" s="16">
        <v>55</v>
      </c>
      <c r="K40" s="11">
        <f t="shared" si="8"/>
        <v>7</v>
      </c>
      <c r="L40" s="12"/>
      <c r="M40" s="18"/>
      <c r="N40" s="19"/>
    </row>
    <row r="41" s="3" customFormat="1" ht="30" customHeight="1" spans="1:14">
      <c r="A41" s="11">
        <v>39</v>
      </c>
      <c r="B41" s="11" t="str">
        <f>"刘楚钰"</f>
        <v>刘楚钰</v>
      </c>
      <c r="C41" s="11" t="str">
        <f t="shared" si="9"/>
        <v>女</v>
      </c>
      <c r="D41" s="11" t="s">
        <v>76</v>
      </c>
      <c r="E41" s="11" t="s">
        <v>77</v>
      </c>
      <c r="F41" s="11" t="str">
        <f t="shared" si="7"/>
        <v>xerc20250102</v>
      </c>
      <c r="G41" s="12" t="s">
        <v>85</v>
      </c>
      <c r="H41" s="21" t="s">
        <v>26</v>
      </c>
      <c r="I41" s="21" t="s">
        <v>34</v>
      </c>
      <c r="J41" s="16">
        <v>55</v>
      </c>
      <c r="K41" s="11">
        <f t="shared" si="8"/>
        <v>7</v>
      </c>
      <c r="L41" s="12"/>
      <c r="M41" s="18"/>
      <c r="N41" s="19"/>
    </row>
    <row r="42" s="3" customFormat="1" ht="30" customHeight="1" spans="1:14">
      <c r="A42" s="11">
        <v>40</v>
      </c>
      <c r="B42" s="11" t="str">
        <f>"周聪"</f>
        <v>周聪</v>
      </c>
      <c r="C42" s="11" t="str">
        <f t="shared" si="10"/>
        <v>男</v>
      </c>
      <c r="D42" s="11" t="s">
        <v>76</v>
      </c>
      <c r="E42" s="11" t="s">
        <v>77</v>
      </c>
      <c r="F42" s="11" t="str">
        <f t="shared" si="7"/>
        <v>xerc20250102</v>
      </c>
      <c r="G42" s="12" t="s">
        <v>86</v>
      </c>
      <c r="H42" s="21" t="s">
        <v>26</v>
      </c>
      <c r="I42" s="21" t="s">
        <v>61</v>
      </c>
      <c r="J42" s="16">
        <v>54</v>
      </c>
      <c r="K42" s="11">
        <f t="shared" si="8"/>
        <v>9</v>
      </c>
      <c r="L42" s="12"/>
      <c r="M42" s="18"/>
      <c r="N42" s="19"/>
    </row>
    <row r="43" s="3" customFormat="1" ht="30" customHeight="1" spans="1:14">
      <c r="A43" s="11">
        <v>41</v>
      </c>
      <c r="B43" s="11" t="str">
        <f>"王锦"</f>
        <v>王锦</v>
      </c>
      <c r="C43" s="11" t="str">
        <f t="shared" si="9"/>
        <v>女</v>
      </c>
      <c r="D43" s="11" t="s">
        <v>76</v>
      </c>
      <c r="E43" s="11" t="s">
        <v>77</v>
      </c>
      <c r="F43" s="11" t="str">
        <f t="shared" si="7"/>
        <v>xerc20250102</v>
      </c>
      <c r="G43" s="12" t="s">
        <v>87</v>
      </c>
      <c r="H43" s="21" t="s">
        <v>26</v>
      </c>
      <c r="I43" s="21" t="s">
        <v>17</v>
      </c>
      <c r="J43" s="16" t="s">
        <v>42</v>
      </c>
      <c r="K43" s="11"/>
      <c r="L43" s="12"/>
      <c r="M43" s="18"/>
      <c r="N43" s="19"/>
    </row>
    <row r="44" s="3" customFormat="1" ht="30" customHeight="1" spans="1:14">
      <c r="A44" s="11">
        <v>42</v>
      </c>
      <c r="B44" s="11" t="str">
        <f>"田雨柔"</f>
        <v>田雨柔</v>
      </c>
      <c r="C44" s="11" t="str">
        <f t="shared" si="9"/>
        <v>女</v>
      </c>
      <c r="D44" s="11" t="s">
        <v>76</v>
      </c>
      <c r="E44" s="11" t="s">
        <v>77</v>
      </c>
      <c r="F44" s="11" t="str">
        <f t="shared" si="7"/>
        <v>xerc20250102</v>
      </c>
      <c r="G44" s="12" t="s">
        <v>88</v>
      </c>
      <c r="H44" s="21" t="s">
        <v>26</v>
      </c>
      <c r="I44" s="21" t="s">
        <v>26</v>
      </c>
      <c r="J44" s="16" t="s">
        <v>42</v>
      </c>
      <c r="K44" s="11"/>
      <c r="L44" s="12"/>
      <c r="M44" s="18"/>
      <c r="N44" s="19"/>
    </row>
    <row r="45" s="3" customFormat="1" ht="30" customHeight="1" spans="1:14">
      <c r="A45" s="11">
        <v>43</v>
      </c>
      <c r="B45" s="11" t="str">
        <f>"梅青山"</f>
        <v>梅青山</v>
      </c>
      <c r="C45" s="11" t="str">
        <f t="shared" si="10"/>
        <v>男</v>
      </c>
      <c r="D45" s="11" t="s">
        <v>76</v>
      </c>
      <c r="E45" s="11" t="s">
        <v>77</v>
      </c>
      <c r="F45" s="11" t="str">
        <f t="shared" si="7"/>
        <v>xerc20250102</v>
      </c>
      <c r="G45" s="12" t="s">
        <v>89</v>
      </c>
      <c r="H45" s="21" t="s">
        <v>26</v>
      </c>
      <c r="I45" s="21" t="s">
        <v>44</v>
      </c>
      <c r="J45" s="16" t="s">
        <v>42</v>
      </c>
      <c r="K45" s="11"/>
      <c r="L45" s="12"/>
      <c r="M45" s="18"/>
      <c r="N45" s="19"/>
    </row>
    <row r="46" s="3" customFormat="1" ht="33" customHeight="1" spans="1:14">
      <c r="A46" s="11">
        <v>44</v>
      </c>
      <c r="B46" s="11" t="str">
        <f>"牟俊蔚"</f>
        <v>牟俊蔚</v>
      </c>
      <c r="C46" s="11" t="str">
        <f t="shared" si="10"/>
        <v>男</v>
      </c>
      <c r="D46" s="11" t="s">
        <v>76</v>
      </c>
      <c r="E46" s="11" t="s">
        <v>77</v>
      </c>
      <c r="F46" s="11" t="str">
        <f t="shared" si="7"/>
        <v>xerc20250102</v>
      </c>
      <c r="G46" s="12" t="s">
        <v>90</v>
      </c>
      <c r="H46" s="21" t="s">
        <v>26</v>
      </c>
      <c r="I46" s="21" t="s">
        <v>50</v>
      </c>
      <c r="J46" s="16" t="s">
        <v>42</v>
      </c>
      <c r="K46" s="11"/>
      <c r="L46" s="12"/>
      <c r="M46" s="18"/>
      <c r="N46" s="19"/>
    </row>
    <row r="47" s="3" customFormat="1" ht="33" customHeight="1" spans="1:14">
      <c r="A47" s="11">
        <v>45</v>
      </c>
      <c r="B47" s="11" t="str">
        <f>"陈佳骏"</f>
        <v>陈佳骏</v>
      </c>
      <c r="C47" s="11" t="str">
        <f t="shared" si="10"/>
        <v>男</v>
      </c>
      <c r="D47" s="11" t="s">
        <v>76</v>
      </c>
      <c r="E47" s="11" t="s">
        <v>77</v>
      </c>
      <c r="F47" s="11" t="str">
        <f t="shared" si="7"/>
        <v>xerc20250102</v>
      </c>
      <c r="G47" s="12" t="s">
        <v>91</v>
      </c>
      <c r="H47" s="21" t="s">
        <v>26</v>
      </c>
      <c r="I47" s="21" t="s">
        <v>52</v>
      </c>
      <c r="J47" s="16" t="s">
        <v>42</v>
      </c>
      <c r="K47" s="11"/>
      <c r="L47" s="12"/>
      <c r="M47" s="18"/>
      <c r="N47" s="19"/>
    </row>
    <row r="48" s="3" customFormat="1" ht="33" customHeight="1" spans="1:14">
      <c r="A48" s="11">
        <v>46</v>
      </c>
      <c r="B48" s="11" t="str">
        <f>"王钦凡"</f>
        <v>王钦凡</v>
      </c>
      <c r="C48" s="11" t="str">
        <f t="shared" si="10"/>
        <v>男</v>
      </c>
      <c r="D48" s="11" t="s">
        <v>76</v>
      </c>
      <c r="E48" s="11" t="s">
        <v>77</v>
      </c>
      <c r="F48" s="11" t="str">
        <f t="shared" si="7"/>
        <v>xerc20250102</v>
      </c>
      <c r="G48" s="12" t="s">
        <v>92</v>
      </c>
      <c r="H48" s="21" t="s">
        <v>26</v>
      </c>
      <c r="I48" s="21" t="s">
        <v>30</v>
      </c>
      <c r="J48" s="16" t="s">
        <v>42</v>
      </c>
      <c r="K48" s="11"/>
      <c r="L48" s="12"/>
      <c r="M48" s="18"/>
      <c r="N48" s="19"/>
    </row>
    <row r="49" s="3" customFormat="1" ht="33" customHeight="1" spans="1:14">
      <c r="A49" s="11">
        <v>47</v>
      </c>
      <c r="B49" s="11" t="str">
        <f>"潘子豪"</f>
        <v>潘子豪</v>
      </c>
      <c r="C49" s="11" t="str">
        <f t="shared" si="10"/>
        <v>男</v>
      </c>
      <c r="D49" s="11" t="s">
        <v>76</v>
      </c>
      <c r="E49" s="11" t="s">
        <v>77</v>
      </c>
      <c r="F49" s="11" t="str">
        <f t="shared" si="7"/>
        <v>xerc20250102</v>
      </c>
      <c r="G49" s="12" t="s">
        <v>93</v>
      </c>
      <c r="H49" s="21" t="s">
        <v>26</v>
      </c>
      <c r="I49" s="21" t="s">
        <v>54</v>
      </c>
      <c r="J49" s="16" t="s">
        <v>42</v>
      </c>
      <c r="K49" s="11"/>
      <c r="L49" s="12"/>
      <c r="M49" s="18"/>
      <c r="N49" s="19"/>
    </row>
    <row r="50" s="3" customFormat="1" ht="33" customHeight="1" spans="1:14">
      <c r="A50" s="11">
        <v>48</v>
      </c>
      <c r="B50" s="11" t="str">
        <f>"刘宇"</f>
        <v>刘宇</v>
      </c>
      <c r="C50" s="11" t="str">
        <f t="shared" si="10"/>
        <v>男</v>
      </c>
      <c r="D50" s="11" t="s">
        <v>76</v>
      </c>
      <c r="E50" s="11" t="s">
        <v>77</v>
      </c>
      <c r="F50" s="11" t="str">
        <f t="shared" si="7"/>
        <v>xerc20250102</v>
      </c>
      <c r="G50" s="12" t="s">
        <v>94</v>
      </c>
      <c r="H50" s="21" t="s">
        <v>26</v>
      </c>
      <c r="I50" s="21" t="s">
        <v>16</v>
      </c>
      <c r="J50" s="16" t="s">
        <v>42</v>
      </c>
      <c r="K50" s="11"/>
      <c r="L50" s="12"/>
      <c r="M50" s="18"/>
      <c r="N50" s="19"/>
    </row>
    <row r="51" s="3" customFormat="1" ht="33" customHeight="1" spans="1:14">
      <c r="A51" s="11">
        <v>49</v>
      </c>
      <c r="B51" s="11" t="str">
        <f>"姚航"</f>
        <v>姚航</v>
      </c>
      <c r="C51" s="11" t="str">
        <f t="shared" si="10"/>
        <v>男</v>
      </c>
      <c r="D51" s="11" t="s">
        <v>76</v>
      </c>
      <c r="E51" s="11" t="s">
        <v>77</v>
      </c>
      <c r="F51" s="11" t="str">
        <f t="shared" si="7"/>
        <v>xerc20250102</v>
      </c>
      <c r="G51" s="12" t="s">
        <v>95</v>
      </c>
      <c r="H51" s="21" t="s">
        <v>26</v>
      </c>
      <c r="I51" s="21" t="s">
        <v>59</v>
      </c>
      <c r="J51" s="16" t="s">
        <v>42</v>
      </c>
      <c r="K51" s="11"/>
      <c r="L51" s="12"/>
      <c r="M51" s="18"/>
      <c r="N51" s="19"/>
    </row>
    <row r="52" s="3" customFormat="1" ht="33" customHeight="1" spans="1:14">
      <c r="A52" s="11">
        <v>50</v>
      </c>
      <c r="B52" s="11" t="str">
        <f>"赵东"</f>
        <v>赵东</v>
      </c>
      <c r="C52" s="11" t="str">
        <f t="shared" si="10"/>
        <v>男</v>
      </c>
      <c r="D52" s="11" t="s">
        <v>76</v>
      </c>
      <c r="E52" s="11" t="s">
        <v>77</v>
      </c>
      <c r="F52" s="11" t="str">
        <f t="shared" si="7"/>
        <v>xerc20250102</v>
      </c>
      <c r="G52" s="12" t="s">
        <v>96</v>
      </c>
      <c r="H52" s="21" t="s">
        <v>26</v>
      </c>
      <c r="I52" s="21" t="s">
        <v>24</v>
      </c>
      <c r="J52" s="16" t="s">
        <v>42</v>
      </c>
      <c r="K52" s="11"/>
      <c r="L52" s="12"/>
      <c r="M52" s="18"/>
      <c r="N52" s="19"/>
    </row>
    <row r="53" s="3" customFormat="1" ht="33" customHeight="1" spans="1:14">
      <c r="A53" s="11">
        <v>51</v>
      </c>
      <c r="B53" s="11" t="str">
        <f>"黄光煜"</f>
        <v>黄光煜</v>
      </c>
      <c r="C53" s="11" t="str">
        <f t="shared" si="10"/>
        <v>男</v>
      </c>
      <c r="D53" s="11" t="s">
        <v>76</v>
      </c>
      <c r="E53" s="11" t="s">
        <v>77</v>
      </c>
      <c r="F53" s="11" t="str">
        <f t="shared" si="7"/>
        <v>xerc20250102</v>
      </c>
      <c r="G53" s="12" t="s">
        <v>97</v>
      </c>
      <c r="H53" s="21" t="s">
        <v>26</v>
      </c>
      <c r="I53" s="21" t="s">
        <v>40</v>
      </c>
      <c r="J53" s="16" t="s">
        <v>42</v>
      </c>
      <c r="K53" s="11"/>
      <c r="L53" s="12"/>
      <c r="M53" s="18"/>
      <c r="N53" s="19"/>
    </row>
    <row r="54" s="3" customFormat="1" ht="33" customHeight="1" spans="1:14">
      <c r="A54" s="11">
        <v>52</v>
      </c>
      <c r="B54" s="11" t="str">
        <f>"瞿淑"</f>
        <v>瞿淑</v>
      </c>
      <c r="C54" s="11" t="str">
        <f t="shared" ref="C54:C60" si="11">"女"</f>
        <v>女</v>
      </c>
      <c r="D54" s="11" t="s">
        <v>76</v>
      </c>
      <c r="E54" s="11" t="s">
        <v>77</v>
      </c>
      <c r="F54" s="11" t="str">
        <f t="shared" si="7"/>
        <v>xerc20250102</v>
      </c>
      <c r="G54" s="12" t="s">
        <v>98</v>
      </c>
      <c r="H54" s="21" t="s">
        <v>26</v>
      </c>
      <c r="I54" s="21" t="s">
        <v>28</v>
      </c>
      <c r="J54" s="16" t="s">
        <v>42</v>
      </c>
      <c r="K54" s="11"/>
      <c r="L54" s="12"/>
      <c r="M54" s="18"/>
      <c r="N54" s="19"/>
    </row>
    <row r="55" s="3" customFormat="1" ht="33" customHeight="1" spans="1:14">
      <c r="A55" s="11">
        <v>53</v>
      </c>
      <c r="B55" s="11" t="str">
        <f>"耿巍"</f>
        <v>耿巍</v>
      </c>
      <c r="C55" s="11" t="str">
        <f t="shared" ref="C55:C57" si="12">"男"</f>
        <v>男</v>
      </c>
      <c r="D55" s="11" t="s">
        <v>76</v>
      </c>
      <c r="E55" s="11" t="s">
        <v>77</v>
      </c>
      <c r="F55" s="11" t="str">
        <f t="shared" si="7"/>
        <v>xerc20250102</v>
      </c>
      <c r="G55" s="12" t="s">
        <v>99</v>
      </c>
      <c r="H55" s="21" t="s">
        <v>26</v>
      </c>
      <c r="I55" s="21" t="s">
        <v>67</v>
      </c>
      <c r="J55" s="16" t="s">
        <v>42</v>
      </c>
      <c r="K55" s="11"/>
      <c r="L55" s="12"/>
      <c r="M55" s="18"/>
      <c r="N55" s="19"/>
    </row>
    <row r="56" s="3" customFormat="1" ht="33" customHeight="1" spans="1:14">
      <c r="A56" s="11">
        <v>54</v>
      </c>
      <c r="B56" s="11" t="str">
        <f>"张钧懋"</f>
        <v>张钧懋</v>
      </c>
      <c r="C56" s="11" t="str">
        <f t="shared" si="12"/>
        <v>男</v>
      </c>
      <c r="D56" s="11" t="s">
        <v>100</v>
      </c>
      <c r="E56" s="11" t="s">
        <v>101</v>
      </c>
      <c r="F56" s="11" t="str">
        <f t="shared" ref="F56:F83" si="13">"xerc20250103"</f>
        <v>xerc20250103</v>
      </c>
      <c r="G56" s="12" t="s">
        <v>102</v>
      </c>
      <c r="H56" s="21" t="s">
        <v>44</v>
      </c>
      <c r="I56" s="21" t="s">
        <v>71</v>
      </c>
      <c r="J56" s="16">
        <v>83</v>
      </c>
      <c r="K56" s="17">
        <f t="shared" ref="K56:K61" si="14">RANK(J56,$J$56:$J$83)</f>
        <v>1</v>
      </c>
      <c r="L56" s="10" t="s">
        <v>18</v>
      </c>
      <c r="M56" s="18"/>
      <c r="N56" s="19"/>
    </row>
    <row r="57" s="3" customFormat="1" ht="33" customHeight="1" spans="1:14">
      <c r="A57" s="11">
        <v>55</v>
      </c>
      <c r="B57" s="11" t="str">
        <f>"谭佐航"</f>
        <v>谭佐航</v>
      </c>
      <c r="C57" s="11" t="str">
        <f t="shared" si="12"/>
        <v>男</v>
      </c>
      <c r="D57" s="11" t="s">
        <v>100</v>
      </c>
      <c r="E57" s="11" t="s">
        <v>101</v>
      </c>
      <c r="F57" s="11" t="str">
        <f t="shared" si="13"/>
        <v>xerc20250103</v>
      </c>
      <c r="G57" s="12" t="s">
        <v>103</v>
      </c>
      <c r="H57" s="21" t="s">
        <v>44</v>
      </c>
      <c r="I57" s="21" t="s">
        <v>40</v>
      </c>
      <c r="J57" s="16">
        <v>76</v>
      </c>
      <c r="K57" s="17">
        <f t="shared" si="14"/>
        <v>2</v>
      </c>
      <c r="L57" s="10" t="s">
        <v>18</v>
      </c>
      <c r="M57" s="18"/>
      <c r="N57" s="19"/>
    </row>
    <row r="58" s="3" customFormat="1" ht="33" customHeight="1" spans="1:14">
      <c r="A58" s="11">
        <v>56</v>
      </c>
      <c r="B58" s="11" t="str">
        <f>"陈璐"</f>
        <v>陈璐</v>
      </c>
      <c r="C58" s="11" t="str">
        <f t="shared" si="11"/>
        <v>女</v>
      </c>
      <c r="D58" s="11" t="s">
        <v>100</v>
      </c>
      <c r="E58" s="11" t="s">
        <v>101</v>
      </c>
      <c r="F58" s="11" t="str">
        <f t="shared" si="13"/>
        <v>xerc20250103</v>
      </c>
      <c r="G58" s="12" t="s">
        <v>104</v>
      </c>
      <c r="H58" s="21" t="s">
        <v>44</v>
      </c>
      <c r="I58" s="21" t="s">
        <v>38</v>
      </c>
      <c r="J58" s="16">
        <v>71</v>
      </c>
      <c r="K58" s="17">
        <f t="shared" si="14"/>
        <v>3</v>
      </c>
      <c r="L58" s="10" t="s">
        <v>18</v>
      </c>
      <c r="M58" s="18"/>
      <c r="N58" s="19"/>
    </row>
    <row r="59" s="3" customFormat="1" ht="33" customHeight="1" spans="1:14">
      <c r="A59" s="11">
        <v>57</v>
      </c>
      <c r="B59" s="11" t="str">
        <f>"熊苾均"</f>
        <v>熊苾均</v>
      </c>
      <c r="C59" s="11" t="str">
        <f t="shared" si="11"/>
        <v>女</v>
      </c>
      <c r="D59" s="11" t="s">
        <v>100</v>
      </c>
      <c r="E59" s="11" t="s">
        <v>101</v>
      </c>
      <c r="F59" s="11" t="str">
        <f t="shared" si="13"/>
        <v>xerc20250103</v>
      </c>
      <c r="G59" s="12" t="s">
        <v>105</v>
      </c>
      <c r="H59" s="21" t="s">
        <v>44</v>
      </c>
      <c r="I59" s="21" t="s">
        <v>54</v>
      </c>
      <c r="J59" s="16">
        <v>67</v>
      </c>
      <c r="K59" s="11">
        <f t="shared" si="14"/>
        <v>4</v>
      </c>
      <c r="L59" s="12"/>
      <c r="M59" s="18"/>
      <c r="N59" s="19"/>
    </row>
    <row r="60" s="3" customFormat="1" ht="30" customHeight="1" spans="1:14">
      <c r="A60" s="11">
        <v>58</v>
      </c>
      <c r="B60" s="11" t="str">
        <f>"林诗敏"</f>
        <v>林诗敏</v>
      </c>
      <c r="C60" s="11" t="str">
        <f t="shared" si="11"/>
        <v>女</v>
      </c>
      <c r="D60" s="11" t="s">
        <v>100</v>
      </c>
      <c r="E60" s="11" t="s">
        <v>101</v>
      </c>
      <c r="F60" s="11" t="str">
        <f t="shared" si="13"/>
        <v>xerc20250103</v>
      </c>
      <c r="G60" s="12" t="s">
        <v>106</v>
      </c>
      <c r="H60" s="21" t="s">
        <v>44</v>
      </c>
      <c r="I60" s="21" t="s">
        <v>56</v>
      </c>
      <c r="J60" s="16">
        <v>67</v>
      </c>
      <c r="K60" s="11">
        <f t="shared" si="14"/>
        <v>4</v>
      </c>
      <c r="L60" s="12"/>
      <c r="M60" s="18"/>
      <c r="N60" s="19"/>
    </row>
    <row r="61" s="3" customFormat="1" ht="30" customHeight="1" spans="1:14">
      <c r="A61" s="11">
        <v>59</v>
      </c>
      <c r="B61" s="11" t="str">
        <f>"周磊"</f>
        <v>周磊</v>
      </c>
      <c r="C61" s="11" t="str">
        <f>"男"</f>
        <v>男</v>
      </c>
      <c r="D61" s="11" t="s">
        <v>100</v>
      </c>
      <c r="E61" s="11" t="s">
        <v>101</v>
      </c>
      <c r="F61" s="11" t="str">
        <f t="shared" si="13"/>
        <v>xerc20250103</v>
      </c>
      <c r="G61" s="12" t="s">
        <v>107</v>
      </c>
      <c r="H61" s="21" t="s">
        <v>44</v>
      </c>
      <c r="I61" s="21" t="s">
        <v>63</v>
      </c>
      <c r="J61" s="16">
        <v>57</v>
      </c>
      <c r="K61" s="11">
        <f t="shared" si="14"/>
        <v>6</v>
      </c>
      <c r="L61" s="12"/>
      <c r="M61" s="18"/>
      <c r="N61" s="19"/>
    </row>
    <row r="62" s="3" customFormat="1" ht="30" customHeight="1" spans="1:14">
      <c r="A62" s="11">
        <v>60</v>
      </c>
      <c r="B62" s="11" t="str">
        <f>"周飞宇 "</f>
        <v>周飞宇 </v>
      </c>
      <c r="C62" s="11" t="str">
        <f>"男"</f>
        <v>男</v>
      </c>
      <c r="D62" s="11" t="s">
        <v>100</v>
      </c>
      <c r="E62" s="11" t="s">
        <v>101</v>
      </c>
      <c r="F62" s="11" t="str">
        <f t="shared" si="13"/>
        <v>xerc20250103</v>
      </c>
      <c r="G62" s="12" t="s">
        <v>108</v>
      </c>
      <c r="H62" s="21" t="s">
        <v>44</v>
      </c>
      <c r="I62" s="21" t="s">
        <v>17</v>
      </c>
      <c r="J62" s="16" t="s">
        <v>42</v>
      </c>
      <c r="K62" s="11"/>
      <c r="L62" s="12"/>
      <c r="M62" s="18"/>
      <c r="N62" s="19"/>
    </row>
    <row r="63" s="3" customFormat="1" ht="30" customHeight="1" spans="1:14">
      <c r="A63" s="11">
        <v>61</v>
      </c>
      <c r="B63" s="11" t="str">
        <f>"谢倩"</f>
        <v>谢倩</v>
      </c>
      <c r="C63" s="11" t="str">
        <f t="shared" ref="C63:C66" si="15">"女"</f>
        <v>女</v>
      </c>
      <c r="D63" s="11" t="s">
        <v>100</v>
      </c>
      <c r="E63" s="11" t="s">
        <v>101</v>
      </c>
      <c r="F63" s="11" t="str">
        <f t="shared" si="13"/>
        <v>xerc20250103</v>
      </c>
      <c r="G63" s="12" t="s">
        <v>109</v>
      </c>
      <c r="H63" s="21" t="s">
        <v>44</v>
      </c>
      <c r="I63" s="21" t="s">
        <v>26</v>
      </c>
      <c r="J63" s="16" t="s">
        <v>42</v>
      </c>
      <c r="K63" s="11"/>
      <c r="L63" s="12"/>
      <c r="M63" s="18"/>
      <c r="N63" s="19"/>
    </row>
    <row r="64" s="3" customFormat="1" ht="30" customHeight="1" spans="1:14">
      <c r="A64" s="11">
        <v>62</v>
      </c>
      <c r="B64" s="11" t="str">
        <f>"邹倩"</f>
        <v>邹倩</v>
      </c>
      <c r="C64" s="11" t="str">
        <f t="shared" si="15"/>
        <v>女</v>
      </c>
      <c r="D64" s="11" t="s">
        <v>100</v>
      </c>
      <c r="E64" s="11" t="s">
        <v>101</v>
      </c>
      <c r="F64" s="11" t="str">
        <f t="shared" si="13"/>
        <v>xerc20250103</v>
      </c>
      <c r="G64" s="12" t="s">
        <v>110</v>
      </c>
      <c r="H64" s="21" t="s">
        <v>44</v>
      </c>
      <c r="I64" s="21" t="s">
        <v>44</v>
      </c>
      <c r="J64" s="16" t="s">
        <v>42</v>
      </c>
      <c r="K64" s="11"/>
      <c r="L64" s="12"/>
      <c r="M64" s="18"/>
      <c r="N64" s="19"/>
    </row>
    <row r="65" s="3" customFormat="1" ht="30" customHeight="1" spans="1:14">
      <c r="A65" s="11">
        <v>63</v>
      </c>
      <c r="B65" s="11" t="str">
        <f>"万静"</f>
        <v>万静</v>
      </c>
      <c r="C65" s="11" t="str">
        <f t="shared" si="15"/>
        <v>女</v>
      </c>
      <c r="D65" s="11" t="s">
        <v>100</v>
      </c>
      <c r="E65" s="11" t="s">
        <v>101</v>
      </c>
      <c r="F65" s="11" t="str">
        <f t="shared" si="13"/>
        <v>xerc20250103</v>
      </c>
      <c r="G65" s="12" t="s">
        <v>111</v>
      </c>
      <c r="H65" s="21" t="s">
        <v>44</v>
      </c>
      <c r="I65" s="21" t="s">
        <v>46</v>
      </c>
      <c r="J65" s="16" t="s">
        <v>42</v>
      </c>
      <c r="K65" s="11"/>
      <c r="L65" s="12"/>
      <c r="M65" s="18"/>
      <c r="N65" s="19"/>
    </row>
    <row r="66" s="3" customFormat="1" ht="30" customHeight="1" spans="1:14">
      <c r="A66" s="11">
        <v>64</v>
      </c>
      <c r="B66" s="11" t="str">
        <f>"田蜜"</f>
        <v>田蜜</v>
      </c>
      <c r="C66" s="11" t="str">
        <f t="shared" si="15"/>
        <v>女</v>
      </c>
      <c r="D66" s="11" t="s">
        <v>100</v>
      </c>
      <c r="E66" s="11" t="s">
        <v>101</v>
      </c>
      <c r="F66" s="11" t="str">
        <f t="shared" si="13"/>
        <v>xerc20250103</v>
      </c>
      <c r="G66" s="12" t="s">
        <v>112</v>
      </c>
      <c r="H66" s="21" t="s">
        <v>44</v>
      </c>
      <c r="I66" s="21" t="s">
        <v>48</v>
      </c>
      <c r="J66" s="16" t="s">
        <v>42</v>
      </c>
      <c r="K66" s="11"/>
      <c r="L66" s="12"/>
      <c r="M66" s="18"/>
      <c r="N66" s="19"/>
    </row>
    <row r="67" s="3" customFormat="1" ht="30" customHeight="1" spans="1:14">
      <c r="A67" s="11">
        <v>65</v>
      </c>
      <c r="B67" s="11" t="str">
        <f>"张天池"</f>
        <v>张天池</v>
      </c>
      <c r="C67" s="11" t="str">
        <f t="shared" ref="C67:C69" si="16">"男"</f>
        <v>男</v>
      </c>
      <c r="D67" s="11" t="s">
        <v>100</v>
      </c>
      <c r="E67" s="11" t="s">
        <v>101</v>
      </c>
      <c r="F67" s="11" t="str">
        <f t="shared" si="13"/>
        <v>xerc20250103</v>
      </c>
      <c r="G67" s="12" t="s">
        <v>113</v>
      </c>
      <c r="H67" s="21" t="s">
        <v>44</v>
      </c>
      <c r="I67" s="21" t="s">
        <v>50</v>
      </c>
      <c r="J67" s="16" t="s">
        <v>42</v>
      </c>
      <c r="K67" s="11"/>
      <c r="L67" s="12"/>
      <c r="M67" s="18"/>
      <c r="N67" s="19"/>
    </row>
    <row r="68" s="3" customFormat="1" ht="30" customHeight="1" spans="1:14">
      <c r="A68" s="11">
        <v>66</v>
      </c>
      <c r="B68" s="11" t="str">
        <f>"周浩"</f>
        <v>周浩</v>
      </c>
      <c r="C68" s="11" t="str">
        <f t="shared" si="16"/>
        <v>男</v>
      </c>
      <c r="D68" s="11" t="s">
        <v>100</v>
      </c>
      <c r="E68" s="11" t="s">
        <v>101</v>
      </c>
      <c r="F68" s="11" t="str">
        <f t="shared" si="13"/>
        <v>xerc20250103</v>
      </c>
      <c r="G68" s="12" t="s">
        <v>114</v>
      </c>
      <c r="H68" s="21" t="s">
        <v>44</v>
      </c>
      <c r="I68" s="21" t="s">
        <v>52</v>
      </c>
      <c r="J68" s="16" t="s">
        <v>42</v>
      </c>
      <c r="K68" s="11"/>
      <c r="L68" s="12"/>
      <c r="M68" s="18"/>
      <c r="N68" s="19"/>
    </row>
    <row r="69" s="3" customFormat="1" ht="30" customHeight="1" spans="1:14">
      <c r="A69" s="11">
        <v>67</v>
      </c>
      <c r="B69" s="11" t="str">
        <f>"万思帆"</f>
        <v>万思帆</v>
      </c>
      <c r="C69" s="11" t="str">
        <f t="shared" si="16"/>
        <v>男</v>
      </c>
      <c r="D69" s="11" t="s">
        <v>100</v>
      </c>
      <c r="E69" s="11" t="s">
        <v>101</v>
      </c>
      <c r="F69" s="11" t="str">
        <f t="shared" si="13"/>
        <v>xerc20250103</v>
      </c>
      <c r="G69" s="12" t="s">
        <v>115</v>
      </c>
      <c r="H69" s="21" t="s">
        <v>44</v>
      </c>
      <c r="I69" s="21" t="s">
        <v>30</v>
      </c>
      <c r="J69" s="16" t="s">
        <v>42</v>
      </c>
      <c r="K69" s="11"/>
      <c r="L69" s="12"/>
      <c r="M69" s="18"/>
      <c r="N69" s="19"/>
    </row>
    <row r="70" s="3" customFormat="1" ht="30" customHeight="1" spans="1:14">
      <c r="A70" s="11">
        <v>68</v>
      </c>
      <c r="B70" s="11" t="str">
        <f>"王媛媛"</f>
        <v>王媛媛</v>
      </c>
      <c r="C70" s="11" t="str">
        <f t="shared" ref="C70:C99" si="17">"女"</f>
        <v>女</v>
      </c>
      <c r="D70" s="11" t="s">
        <v>100</v>
      </c>
      <c r="E70" s="11" t="s">
        <v>101</v>
      </c>
      <c r="F70" s="11" t="str">
        <f t="shared" si="13"/>
        <v>xerc20250103</v>
      </c>
      <c r="G70" s="12" t="s">
        <v>116</v>
      </c>
      <c r="H70" s="21" t="s">
        <v>44</v>
      </c>
      <c r="I70" s="21" t="s">
        <v>16</v>
      </c>
      <c r="J70" s="16" t="s">
        <v>42</v>
      </c>
      <c r="K70" s="11"/>
      <c r="L70" s="12"/>
      <c r="M70" s="18"/>
      <c r="N70" s="19"/>
    </row>
    <row r="71" s="3" customFormat="1" ht="30" customHeight="1" spans="1:14">
      <c r="A71" s="11">
        <v>69</v>
      </c>
      <c r="B71" s="11" t="str">
        <f>"黄晶灿"</f>
        <v>黄晶灿</v>
      </c>
      <c r="C71" s="11" t="str">
        <f t="shared" si="17"/>
        <v>女</v>
      </c>
      <c r="D71" s="11" t="s">
        <v>100</v>
      </c>
      <c r="E71" s="11" t="s">
        <v>101</v>
      </c>
      <c r="F71" s="11" t="str">
        <f t="shared" si="13"/>
        <v>xerc20250103</v>
      </c>
      <c r="G71" s="12" t="s">
        <v>117</v>
      </c>
      <c r="H71" s="21" t="s">
        <v>44</v>
      </c>
      <c r="I71" s="21" t="s">
        <v>59</v>
      </c>
      <c r="J71" s="16" t="s">
        <v>42</v>
      </c>
      <c r="K71" s="11"/>
      <c r="L71" s="12"/>
      <c r="M71" s="18"/>
      <c r="N71" s="19"/>
    </row>
    <row r="72" s="3" customFormat="1" ht="30" customHeight="1" spans="1:14">
      <c r="A72" s="11">
        <v>70</v>
      </c>
      <c r="B72" s="11" t="str">
        <f>"谭昊"</f>
        <v>谭昊</v>
      </c>
      <c r="C72" s="11" t="str">
        <f>"男"</f>
        <v>男</v>
      </c>
      <c r="D72" s="11" t="s">
        <v>100</v>
      </c>
      <c r="E72" s="11" t="s">
        <v>101</v>
      </c>
      <c r="F72" s="11" t="str">
        <f t="shared" si="13"/>
        <v>xerc20250103</v>
      </c>
      <c r="G72" s="12" t="s">
        <v>118</v>
      </c>
      <c r="H72" s="21" t="s">
        <v>44</v>
      </c>
      <c r="I72" s="21" t="s">
        <v>61</v>
      </c>
      <c r="J72" s="16" t="s">
        <v>42</v>
      </c>
      <c r="K72" s="11"/>
      <c r="L72" s="12"/>
      <c r="M72" s="18"/>
      <c r="N72" s="19"/>
    </row>
    <row r="73" s="3" customFormat="1" ht="30" customHeight="1" spans="1:14">
      <c r="A73" s="11">
        <v>71</v>
      </c>
      <c r="B73" s="11" t="str">
        <f>"肖瑞雪"</f>
        <v>肖瑞雪</v>
      </c>
      <c r="C73" s="11" t="str">
        <f t="shared" si="17"/>
        <v>女</v>
      </c>
      <c r="D73" s="11" t="s">
        <v>100</v>
      </c>
      <c r="E73" s="11" t="s">
        <v>101</v>
      </c>
      <c r="F73" s="11" t="str">
        <f t="shared" si="13"/>
        <v>xerc20250103</v>
      </c>
      <c r="G73" s="12" t="s">
        <v>119</v>
      </c>
      <c r="H73" s="21" t="s">
        <v>44</v>
      </c>
      <c r="I73" s="21" t="s">
        <v>24</v>
      </c>
      <c r="J73" s="16" t="s">
        <v>42</v>
      </c>
      <c r="K73" s="11"/>
      <c r="L73" s="12"/>
      <c r="M73" s="18"/>
      <c r="N73" s="19"/>
    </row>
    <row r="74" s="3" customFormat="1" ht="33" customHeight="1" spans="1:14">
      <c r="A74" s="11">
        <v>72</v>
      </c>
      <c r="B74" s="11" t="str">
        <f>"张群瑶"</f>
        <v>张群瑶</v>
      </c>
      <c r="C74" s="11" t="str">
        <f t="shared" si="17"/>
        <v>女</v>
      </c>
      <c r="D74" s="11" t="s">
        <v>100</v>
      </c>
      <c r="E74" s="11" t="s">
        <v>101</v>
      </c>
      <c r="F74" s="11" t="str">
        <f t="shared" si="13"/>
        <v>xerc20250103</v>
      </c>
      <c r="G74" s="12" t="s">
        <v>120</v>
      </c>
      <c r="H74" s="21" t="s">
        <v>44</v>
      </c>
      <c r="I74" s="21" t="s">
        <v>28</v>
      </c>
      <c r="J74" s="16" t="s">
        <v>42</v>
      </c>
      <c r="K74" s="11"/>
      <c r="L74" s="12"/>
      <c r="M74" s="18"/>
      <c r="N74" s="19"/>
    </row>
    <row r="75" s="3" customFormat="1" ht="33" customHeight="1" spans="1:14">
      <c r="A75" s="11">
        <v>73</v>
      </c>
      <c r="B75" s="11" t="str">
        <f>"黄晶晶"</f>
        <v>黄晶晶</v>
      </c>
      <c r="C75" s="11" t="str">
        <f t="shared" si="17"/>
        <v>女</v>
      </c>
      <c r="D75" s="11" t="s">
        <v>100</v>
      </c>
      <c r="E75" s="11" t="s">
        <v>101</v>
      </c>
      <c r="F75" s="11" t="str">
        <f t="shared" si="13"/>
        <v>xerc20250103</v>
      </c>
      <c r="G75" s="12" t="s">
        <v>121</v>
      </c>
      <c r="H75" s="21" t="s">
        <v>44</v>
      </c>
      <c r="I75" s="21" t="s">
        <v>32</v>
      </c>
      <c r="J75" s="16" t="s">
        <v>42</v>
      </c>
      <c r="K75" s="11"/>
      <c r="L75" s="12"/>
      <c r="M75" s="18"/>
      <c r="N75" s="19"/>
    </row>
    <row r="76" s="3" customFormat="1" ht="33" customHeight="1" spans="1:14">
      <c r="A76" s="11">
        <v>74</v>
      </c>
      <c r="B76" s="11" t="str">
        <f>"燕灿"</f>
        <v>燕灿</v>
      </c>
      <c r="C76" s="11" t="str">
        <f t="shared" si="17"/>
        <v>女</v>
      </c>
      <c r="D76" s="11" t="s">
        <v>100</v>
      </c>
      <c r="E76" s="11" t="s">
        <v>101</v>
      </c>
      <c r="F76" s="11" t="str">
        <f t="shared" si="13"/>
        <v>xerc20250103</v>
      </c>
      <c r="G76" s="12" t="s">
        <v>122</v>
      </c>
      <c r="H76" s="21" t="s">
        <v>44</v>
      </c>
      <c r="I76" s="21" t="s">
        <v>34</v>
      </c>
      <c r="J76" s="16" t="s">
        <v>42</v>
      </c>
      <c r="K76" s="11"/>
      <c r="L76" s="12"/>
      <c r="M76" s="18"/>
      <c r="N76" s="19"/>
    </row>
    <row r="77" s="3" customFormat="1" ht="33" customHeight="1" spans="1:14">
      <c r="A77" s="11">
        <v>75</v>
      </c>
      <c r="B77" s="11" t="str">
        <f>"张颖"</f>
        <v>张颖</v>
      </c>
      <c r="C77" s="11" t="str">
        <f t="shared" si="17"/>
        <v>女</v>
      </c>
      <c r="D77" s="11" t="s">
        <v>100</v>
      </c>
      <c r="E77" s="11" t="s">
        <v>101</v>
      </c>
      <c r="F77" s="11" t="str">
        <f t="shared" si="13"/>
        <v>xerc20250103</v>
      </c>
      <c r="G77" s="12" t="s">
        <v>123</v>
      </c>
      <c r="H77" s="21" t="s">
        <v>44</v>
      </c>
      <c r="I77" s="21" t="s">
        <v>65</v>
      </c>
      <c r="J77" s="16" t="s">
        <v>42</v>
      </c>
      <c r="K77" s="11"/>
      <c r="L77" s="12"/>
      <c r="M77" s="18"/>
      <c r="N77" s="19"/>
    </row>
    <row r="78" s="3" customFormat="1" ht="33" customHeight="1" spans="1:14">
      <c r="A78" s="11">
        <v>76</v>
      </c>
      <c r="B78" s="11" t="str">
        <f>"杨雨颜"</f>
        <v>杨雨颜</v>
      </c>
      <c r="C78" s="11" t="str">
        <f t="shared" si="17"/>
        <v>女</v>
      </c>
      <c r="D78" s="11" t="s">
        <v>100</v>
      </c>
      <c r="E78" s="11" t="s">
        <v>101</v>
      </c>
      <c r="F78" s="11" t="str">
        <f t="shared" si="13"/>
        <v>xerc20250103</v>
      </c>
      <c r="G78" s="12" t="s">
        <v>124</v>
      </c>
      <c r="H78" s="21" t="s">
        <v>44</v>
      </c>
      <c r="I78" s="21" t="s">
        <v>67</v>
      </c>
      <c r="J78" s="16" t="s">
        <v>42</v>
      </c>
      <c r="K78" s="11"/>
      <c r="L78" s="12"/>
      <c r="M78" s="18"/>
      <c r="N78" s="19"/>
    </row>
    <row r="79" s="3" customFormat="1" ht="33" customHeight="1" spans="1:14">
      <c r="A79" s="11">
        <v>77</v>
      </c>
      <c r="B79" s="11" t="str">
        <f>"曾蕾"</f>
        <v>曾蕾</v>
      </c>
      <c r="C79" s="11" t="str">
        <f t="shared" si="17"/>
        <v>女</v>
      </c>
      <c r="D79" s="11" t="s">
        <v>100</v>
      </c>
      <c r="E79" s="11" t="s">
        <v>101</v>
      </c>
      <c r="F79" s="11" t="str">
        <f t="shared" si="13"/>
        <v>xerc20250103</v>
      </c>
      <c r="G79" s="12" t="s">
        <v>125</v>
      </c>
      <c r="H79" s="21" t="s">
        <v>44</v>
      </c>
      <c r="I79" s="21" t="s">
        <v>36</v>
      </c>
      <c r="J79" s="16" t="s">
        <v>42</v>
      </c>
      <c r="K79" s="11"/>
      <c r="L79" s="12"/>
      <c r="M79" s="18"/>
      <c r="N79" s="19"/>
    </row>
    <row r="80" s="3" customFormat="1" ht="33" customHeight="1" spans="1:14">
      <c r="A80" s="11">
        <v>78</v>
      </c>
      <c r="B80" s="11" t="str">
        <f>"覃铄"</f>
        <v>覃铄</v>
      </c>
      <c r="C80" s="11" t="str">
        <f t="shared" si="17"/>
        <v>女</v>
      </c>
      <c r="D80" s="11" t="s">
        <v>100</v>
      </c>
      <c r="E80" s="11" t="s">
        <v>101</v>
      </c>
      <c r="F80" s="11" t="str">
        <f t="shared" si="13"/>
        <v>xerc20250103</v>
      </c>
      <c r="G80" s="12" t="s">
        <v>126</v>
      </c>
      <c r="H80" s="21" t="s">
        <v>44</v>
      </c>
      <c r="I80" s="21" t="s">
        <v>20</v>
      </c>
      <c r="J80" s="16" t="s">
        <v>42</v>
      </c>
      <c r="K80" s="11"/>
      <c r="L80" s="12"/>
      <c r="M80" s="18"/>
      <c r="N80" s="19"/>
    </row>
    <row r="81" s="3" customFormat="1" ht="33" customHeight="1" spans="1:14">
      <c r="A81" s="11">
        <v>79</v>
      </c>
      <c r="B81" s="11" t="str">
        <f>"吴杰"</f>
        <v>吴杰</v>
      </c>
      <c r="C81" s="11" t="str">
        <f t="shared" si="17"/>
        <v>女</v>
      </c>
      <c r="D81" s="11" t="s">
        <v>100</v>
      </c>
      <c r="E81" s="11" t="s">
        <v>101</v>
      </c>
      <c r="F81" s="11" t="str">
        <f t="shared" si="13"/>
        <v>xerc20250103</v>
      </c>
      <c r="G81" s="12" t="s">
        <v>127</v>
      </c>
      <c r="H81" s="21" t="s">
        <v>44</v>
      </c>
      <c r="I81" s="21" t="s">
        <v>69</v>
      </c>
      <c r="J81" s="16" t="s">
        <v>42</v>
      </c>
      <c r="K81" s="11"/>
      <c r="L81" s="12"/>
      <c r="M81" s="18"/>
      <c r="N81" s="19"/>
    </row>
    <row r="82" s="3" customFormat="1" ht="33" customHeight="1" spans="1:14">
      <c r="A82" s="11">
        <v>80</v>
      </c>
      <c r="B82" s="11" t="str">
        <f>"袁丽"</f>
        <v>袁丽</v>
      </c>
      <c r="C82" s="11" t="str">
        <f t="shared" si="17"/>
        <v>女</v>
      </c>
      <c r="D82" s="11" t="s">
        <v>100</v>
      </c>
      <c r="E82" s="11" t="s">
        <v>101</v>
      </c>
      <c r="F82" s="11" t="str">
        <f t="shared" si="13"/>
        <v>xerc20250103</v>
      </c>
      <c r="G82" s="12" t="s">
        <v>128</v>
      </c>
      <c r="H82" s="21" t="s">
        <v>44</v>
      </c>
      <c r="I82" s="21" t="s">
        <v>22</v>
      </c>
      <c r="J82" s="16" t="s">
        <v>42</v>
      </c>
      <c r="K82" s="11"/>
      <c r="L82" s="12"/>
      <c r="M82" s="18"/>
      <c r="N82" s="19"/>
    </row>
    <row r="83" s="3" customFormat="1" ht="33" customHeight="1" spans="1:14">
      <c r="A83" s="11">
        <v>81</v>
      </c>
      <c r="B83" s="11" t="str">
        <f>"王闫瑛"</f>
        <v>王闫瑛</v>
      </c>
      <c r="C83" s="11" t="str">
        <f t="shared" si="17"/>
        <v>女</v>
      </c>
      <c r="D83" s="11" t="s">
        <v>100</v>
      </c>
      <c r="E83" s="11" t="s">
        <v>101</v>
      </c>
      <c r="F83" s="11" t="str">
        <f t="shared" si="13"/>
        <v>xerc20250103</v>
      </c>
      <c r="G83" s="12" t="s">
        <v>129</v>
      </c>
      <c r="H83" s="21" t="s">
        <v>44</v>
      </c>
      <c r="I83" s="21" t="s">
        <v>73</v>
      </c>
      <c r="J83" s="16" t="s">
        <v>42</v>
      </c>
      <c r="K83" s="11"/>
      <c r="L83" s="12"/>
      <c r="M83" s="18"/>
      <c r="N83" s="19"/>
    </row>
    <row r="84" s="3" customFormat="1" ht="33" customHeight="1" spans="1:14">
      <c r="A84" s="11">
        <v>82</v>
      </c>
      <c r="B84" s="11" t="str">
        <f>"邢艺露"</f>
        <v>邢艺露</v>
      </c>
      <c r="C84" s="11" t="str">
        <f t="shared" si="17"/>
        <v>女</v>
      </c>
      <c r="D84" s="11" t="s">
        <v>100</v>
      </c>
      <c r="E84" s="11" t="s">
        <v>130</v>
      </c>
      <c r="F84" s="11" t="str">
        <f t="shared" ref="F84:F135" si="18">"xerc20250104"</f>
        <v>xerc20250104</v>
      </c>
      <c r="G84" s="12" t="s">
        <v>131</v>
      </c>
      <c r="H84" s="21" t="s">
        <v>46</v>
      </c>
      <c r="I84" s="21" t="s">
        <v>67</v>
      </c>
      <c r="J84" s="16">
        <v>76</v>
      </c>
      <c r="K84" s="17">
        <f t="shared" ref="K84:K102" si="19">RANK(J84,$J$84:$J$135)</f>
        <v>1</v>
      </c>
      <c r="L84" s="10" t="s">
        <v>18</v>
      </c>
      <c r="M84" s="18"/>
      <c r="N84" s="19"/>
    </row>
    <row r="85" s="3" customFormat="1" ht="33" customHeight="1" spans="1:14">
      <c r="A85" s="11">
        <v>83</v>
      </c>
      <c r="B85" s="11" t="str">
        <f>"何金穗"</f>
        <v>何金穗</v>
      </c>
      <c r="C85" s="11" t="str">
        <f t="shared" si="17"/>
        <v>女</v>
      </c>
      <c r="D85" s="11" t="s">
        <v>100</v>
      </c>
      <c r="E85" s="11" t="s">
        <v>130</v>
      </c>
      <c r="F85" s="11" t="str">
        <f t="shared" si="18"/>
        <v>xerc20250104</v>
      </c>
      <c r="G85" s="12" t="s">
        <v>132</v>
      </c>
      <c r="H85" s="21" t="s">
        <v>48</v>
      </c>
      <c r="I85" s="21" t="s">
        <v>44</v>
      </c>
      <c r="J85" s="16">
        <v>76</v>
      </c>
      <c r="K85" s="17">
        <f t="shared" si="19"/>
        <v>1</v>
      </c>
      <c r="L85" s="10" t="s">
        <v>18</v>
      </c>
      <c r="M85" s="18"/>
      <c r="N85" s="19"/>
    </row>
    <row r="86" s="3" customFormat="1" ht="33" customHeight="1" spans="1:14">
      <c r="A86" s="11">
        <v>84</v>
      </c>
      <c r="B86" s="11" t="str">
        <f>"杨岚"</f>
        <v>杨岚</v>
      </c>
      <c r="C86" s="11" t="str">
        <f t="shared" si="17"/>
        <v>女</v>
      </c>
      <c r="D86" s="11" t="s">
        <v>100</v>
      </c>
      <c r="E86" s="11" t="s">
        <v>130</v>
      </c>
      <c r="F86" s="11" t="str">
        <f t="shared" si="18"/>
        <v>xerc20250104</v>
      </c>
      <c r="G86" s="12" t="s">
        <v>133</v>
      </c>
      <c r="H86" s="21" t="s">
        <v>46</v>
      </c>
      <c r="I86" s="21" t="s">
        <v>17</v>
      </c>
      <c r="J86" s="16">
        <v>75</v>
      </c>
      <c r="K86" s="17">
        <f t="shared" si="19"/>
        <v>3</v>
      </c>
      <c r="L86" s="10" t="s">
        <v>18</v>
      </c>
      <c r="M86" s="18"/>
      <c r="N86" s="19"/>
    </row>
    <row r="87" s="3" customFormat="1" ht="33" customHeight="1" spans="1:20">
      <c r="A87" s="11">
        <v>85</v>
      </c>
      <c r="B87" s="11" t="str">
        <f>"曾利"</f>
        <v>曾利</v>
      </c>
      <c r="C87" s="11" t="str">
        <f t="shared" si="17"/>
        <v>女</v>
      </c>
      <c r="D87" s="11" t="s">
        <v>100</v>
      </c>
      <c r="E87" s="11" t="s">
        <v>130</v>
      </c>
      <c r="F87" s="11" t="str">
        <f t="shared" si="18"/>
        <v>xerc20250104</v>
      </c>
      <c r="G87" s="12" t="s">
        <v>134</v>
      </c>
      <c r="H87" s="21" t="s">
        <v>48</v>
      </c>
      <c r="I87" s="21" t="s">
        <v>54</v>
      </c>
      <c r="J87" s="16">
        <v>75</v>
      </c>
      <c r="K87" s="17">
        <f t="shared" si="19"/>
        <v>3</v>
      </c>
      <c r="L87" s="10" t="s">
        <v>18</v>
      </c>
      <c r="M87" s="4"/>
      <c r="N87" s="4"/>
      <c r="O87" s="4"/>
      <c r="P87" s="4"/>
      <c r="Q87" s="4"/>
      <c r="R87" s="4"/>
      <c r="S87" s="4"/>
      <c r="T87" s="4"/>
    </row>
    <row r="88" s="3" customFormat="1" ht="30" customHeight="1" spans="1:20">
      <c r="A88" s="11">
        <v>86</v>
      </c>
      <c r="B88" s="11" t="str">
        <f>"谭艳"</f>
        <v>谭艳</v>
      </c>
      <c r="C88" s="11" t="str">
        <f t="shared" si="17"/>
        <v>女</v>
      </c>
      <c r="D88" s="11" t="s">
        <v>100</v>
      </c>
      <c r="E88" s="11" t="s">
        <v>130</v>
      </c>
      <c r="F88" s="11" t="str">
        <f t="shared" si="18"/>
        <v>xerc20250104</v>
      </c>
      <c r="G88" s="12" t="s">
        <v>135</v>
      </c>
      <c r="H88" s="21" t="s">
        <v>48</v>
      </c>
      <c r="I88" s="21" t="s">
        <v>56</v>
      </c>
      <c r="J88" s="16">
        <v>75</v>
      </c>
      <c r="K88" s="17">
        <f t="shared" si="19"/>
        <v>3</v>
      </c>
      <c r="L88" s="10" t="s">
        <v>18</v>
      </c>
      <c r="M88" s="4"/>
      <c r="N88" s="4"/>
      <c r="O88" s="4"/>
      <c r="P88" s="4"/>
      <c r="Q88" s="4"/>
      <c r="R88" s="4"/>
      <c r="S88" s="4"/>
      <c r="T88" s="4"/>
    </row>
    <row r="89" s="3" customFormat="1" ht="30" customHeight="1" spans="1:14">
      <c r="A89" s="11">
        <v>87</v>
      </c>
      <c r="B89" s="11" t="str">
        <f>"周玉玲"</f>
        <v>周玉玲</v>
      </c>
      <c r="C89" s="11" t="str">
        <f t="shared" si="17"/>
        <v>女</v>
      </c>
      <c r="D89" s="11" t="s">
        <v>100</v>
      </c>
      <c r="E89" s="11" t="s">
        <v>130</v>
      </c>
      <c r="F89" s="11" t="str">
        <f t="shared" si="18"/>
        <v>xerc20250104</v>
      </c>
      <c r="G89" s="12" t="s">
        <v>136</v>
      </c>
      <c r="H89" s="21" t="s">
        <v>46</v>
      </c>
      <c r="I89" s="21" t="s">
        <v>48</v>
      </c>
      <c r="J89" s="16">
        <v>74</v>
      </c>
      <c r="K89" s="11">
        <f t="shared" si="19"/>
        <v>6</v>
      </c>
      <c r="L89" s="12"/>
      <c r="M89" s="18"/>
      <c r="N89" s="19"/>
    </row>
    <row r="90" s="3" customFormat="1" ht="30" customHeight="1" spans="1:20">
      <c r="A90" s="11">
        <v>88</v>
      </c>
      <c r="B90" s="11" t="str">
        <f>"夏成琴"</f>
        <v>夏成琴</v>
      </c>
      <c r="C90" s="11" t="str">
        <f t="shared" si="17"/>
        <v>女</v>
      </c>
      <c r="D90" s="11" t="s">
        <v>100</v>
      </c>
      <c r="E90" s="11" t="s">
        <v>130</v>
      </c>
      <c r="F90" s="11" t="str">
        <f t="shared" si="18"/>
        <v>xerc20250104</v>
      </c>
      <c r="G90" s="12" t="s">
        <v>137</v>
      </c>
      <c r="H90" s="21" t="s">
        <v>48</v>
      </c>
      <c r="I90" s="21" t="s">
        <v>16</v>
      </c>
      <c r="J90" s="16">
        <v>73</v>
      </c>
      <c r="K90" s="11">
        <f t="shared" si="19"/>
        <v>7</v>
      </c>
      <c r="L90" s="12"/>
      <c r="M90" s="4"/>
      <c r="N90" s="4"/>
      <c r="O90" s="4"/>
      <c r="P90" s="4"/>
      <c r="Q90" s="4"/>
      <c r="R90" s="4"/>
      <c r="S90" s="4"/>
      <c r="T90" s="4"/>
    </row>
    <row r="91" s="3" customFormat="1" ht="30" customHeight="1" spans="1:14">
      <c r="A91" s="11">
        <v>89</v>
      </c>
      <c r="B91" s="11" t="str">
        <f>"李婧"</f>
        <v>李婧</v>
      </c>
      <c r="C91" s="11" t="str">
        <f t="shared" si="17"/>
        <v>女</v>
      </c>
      <c r="D91" s="11" t="s">
        <v>100</v>
      </c>
      <c r="E91" s="11" t="s">
        <v>130</v>
      </c>
      <c r="F91" s="11" t="str">
        <f t="shared" si="18"/>
        <v>xerc20250104</v>
      </c>
      <c r="G91" s="12" t="s">
        <v>138</v>
      </c>
      <c r="H91" s="21" t="s">
        <v>46</v>
      </c>
      <c r="I91" s="21" t="s">
        <v>30</v>
      </c>
      <c r="J91" s="16">
        <v>70</v>
      </c>
      <c r="K91" s="11">
        <f t="shared" si="19"/>
        <v>8</v>
      </c>
      <c r="L91" s="12"/>
      <c r="M91" s="18"/>
      <c r="N91" s="19"/>
    </row>
    <row r="92" s="3" customFormat="1" ht="30" customHeight="1" spans="1:14">
      <c r="A92" s="11">
        <v>90</v>
      </c>
      <c r="B92" s="11" t="str">
        <f>"邓秋黄"</f>
        <v>邓秋黄</v>
      </c>
      <c r="C92" s="11" t="str">
        <f t="shared" si="17"/>
        <v>女</v>
      </c>
      <c r="D92" s="11" t="s">
        <v>100</v>
      </c>
      <c r="E92" s="11" t="s">
        <v>130</v>
      </c>
      <c r="F92" s="11" t="str">
        <f t="shared" si="18"/>
        <v>xerc20250104</v>
      </c>
      <c r="G92" s="12" t="s">
        <v>139</v>
      </c>
      <c r="H92" s="21" t="s">
        <v>48</v>
      </c>
      <c r="I92" s="21" t="s">
        <v>17</v>
      </c>
      <c r="J92" s="16">
        <v>70</v>
      </c>
      <c r="K92" s="11">
        <f t="shared" si="19"/>
        <v>8</v>
      </c>
      <c r="L92" s="12"/>
      <c r="M92" s="18"/>
      <c r="N92" s="19"/>
    </row>
    <row r="93" s="3" customFormat="1" ht="30" customHeight="1" spans="1:14">
      <c r="A93" s="11">
        <v>91</v>
      </c>
      <c r="B93" s="11" t="str">
        <f>"向媛"</f>
        <v>向媛</v>
      </c>
      <c r="C93" s="11" t="str">
        <f t="shared" si="17"/>
        <v>女</v>
      </c>
      <c r="D93" s="11" t="s">
        <v>100</v>
      </c>
      <c r="E93" s="11" t="s">
        <v>130</v>
      </c>
      <c r="F93" s="11" t="str">
        <f t="shared" si="18"/>
        <v>xerc20250104</v>
      </c>
      <c r="G93" s="12" t="s">
        <v>140</v>
      </c>
      <c r="H93" s="21" t="s">
        <v>46</v>
      </c>
      <c r="I93" s="21" t="s">
        <v>36</v>
      </c>
      <c r="J93" s="16">
        <v>69</v>
      </c>
      <c r="K93" s="11">
        <f t="shared" si="19"/>
        <v>10</v>
      </c>
      <c r="L93" s="12"/>
      <c r="M93" s="18"/>
      <c r="N93" s="19"/>
    </row>
    <row r="94" s="3" customFormat="1" ht="30" customHeight="1" spans="1:14">
      <c r="A94" s="11">
        <v>92</v>
      </c>
      <c r="B94" s="11" t="str">
        <f>"张林"</f>
        <v>张林</v>
      </c>
      <c r="C94" s="11" t="str">
        <f t="shared" si="17"/>
        <v>女</v>
      </c>
      <c r="D94" s="11" t="s">
        <v>100</v>
      </c>
      <c r="E94" s="11" t="s">
        <v>130</v>
      </c>
      <c r="F94" s="11" t="str">
        <f t="shared" si="18"/>
        <v>xerc20250104</v>
      </c>
      <c r="G94" s="12" t="s">
        <v>141</v>
      </c>
      <c r="H94" s="21" t="s">
        <v>46</v>
      </c>
      <c r="I94" s="21" t="s">
        <v>54</v>
      </c>
      <c r="J94" s="16">
        <v>68</v>
      </c>
      <c r="K94" s="11">
        <f t="shared" si="19"/>
        <v>11</v>
      </c>
      <c r="L94" s="12"/>
      <c r="M94" s="18"/>
      <c r="N94" s="19"/>
    </row>
    <row r="95" s="3" customFormat="1" ht="30" customHeight="1" spans="1:14">
      <c r="A95" s="11">
        <v>93</v>
      </c>
      <c r="B95" s="11" t="str">
        <f>"吕经瑶"</f>
        <v>吕经瑶</v>
      </c>
      <c r="C95" s="11" t="str">
        <f t="shared" si="17"/>
        <v>女</v>
      </c>
      <c r="D95" s="11" t="s">
        <v>100</v>
      </c>
      <c r="E95" s="11" t="s">
        <v>130</v>
      </c>
      <c r="F95" s="11" t="str">
        <f t="shared" si="18"/>
        <v>xerc20250104</v>
      </c>
      <c r="G95" s="12" t="s">
        <v>142</v>
      </c>
      <c r="H95" s="21" t="s">
        <v>46</v>
      </c>
      <c r="I95" s="21" t="s">
        <v>59</v>
      </c>
      <c r="J95" s="16">
        <v>68</v>
      </c>
      <c r="K95" s="11">
        <f t="shared" si="19"/>
        <v>11</v>
      </c>
      <c r="L95" s="12"/>
      <c r="M95" s="18"/>
      <c r="N95" s="19"/>
    </row>
    <row r="96" s="3" customFormat="1" ht="30" customHeight="1" spans="1:20">
      <c r="A96" s="11">
        <v>94</v>
      </c>
      <c r="B96" s="11" t="str">
        <f>"郝婷"</f>
        <v>郝婷</v>
      </c>
      <c r="C96" s="11" t="str">
        <f t="shared" si="17"/>
        <v>女</v>
      </c>
      <c r="D96" s="11" t="s">
        <v>100</v>
      </c>
      <c r="E96" s="11" t="s">
        <v>130</v>
      </c>
      <c r="F96" s="11" t="str">
        <f t="shared" si="18"/>
        <v>xerc20250104</v>
      </c>
      <c r="G96" s="12" t="s">
        <v>143</v>
      </c>
      <c r="H96" s="21" t="s">
        <v>48</v>
      </c>
      <c r="I96" s="21" t="s">
        <v>28</v>
      </c>
      <c r="J96" s="16">
        <v>68</v>
      </c>
      <c r="K96" s="11">
        <f t="shared" si="19"/>
        <v>11</v>
      </c>
      <c r="L96" s="12"/>
      <c r="M96" s="4"/>
      <c r="N96" s="4"/>
      <c r="O96" s="4"/>
      <c r="P96" s="4"/>
      <c r="Q96" s="4"/>
      <c r="R96" s="4"/>
      <c r="S96" s="4"/>
      <c r="T96" s="4"/>
    </row>
    <row r="97" s="3" customFormat="1" ht="30" customHeight="1" spans="1:14">
      <c r="A97" s="11">
        <v>95</v>
      </c>
      <c r="B97" s="11" t="str">
        <f>"向璐"</f>
        <v>向璐</v>
      </c>
      <c r="C97" s="11" t="str">
        <f t="shared" si="17"/>
        <v>女</v>
      </c>
      <c r="D97" s="11" t="s">
        <v>100</v>
      </c>
      <c r="E97" s="11" t="s">
        <v>130</v>
      </c>
      <c r="F97" s="11" t="str">
        <f t="shared" si="18"/>
        <v>xerc20250104</v>
      </c>
      <c r="G97" s="12" t="s">
        <v>144</v>
      </c>
      <c r="H97" s="21" t="s">
        <v>46</v>
      </c>
      <c r="I97" s="21" t="s">
        <v>50</v>
      </c>
      <c r="J97" s="16">
        <v>67</v>
      </c>
      <c r="K97" s="11">
        <f t="shared" si="19"/>
        <v>14</v>
      </c>
      <c r="L97" s="12"/>
      <c r="M97" s="18"/>
      <c r="N97" s="19"/>
    </row>
    <row r="98" s="3" customFormat="1" ht="30" customHeight="1" spans="1:20">
      <c r="A98" s="11">
        <v>96</v>
      </c>
      <c r="B98" s="11" t="str">
        <f>"李佳"</f>
        <v>李佳</v>
      </c>
      <c r="C98" s="11" t="str">
        <f t="shared" si="17"/>
        <v>女</v>
      </c>
      <c r="D98" s="11" t="s">
        <v>100</v>
      </c>
      <c r="E98" s="11" t="s">
        <v>130</v>
      </c>
      <c r="F98" s="11" t="str">
        <f t="shared" si="18"/>
        <v>xerc20250104</v>
      </c>
      <c r="G98" s="12" t="s">
        <v>145</v>
      </c>
      <c r="H98" s="21" t="s">
        <v>48</v>
      </c>
      <c r="I98" s="21" t="s">
        <v>59</v>
      </c>
      <c r="J98" s="16">
        <v>65</v>
      </c>
      <c r="K98" s="11">
        <f t="shared" si="19"/>
        <v>15</v>
      </c>
      <c r="L98" s="12"/>
      <c r="M98" s="4"/>
      <c r="N98" s="4"/>
      <c r="O98" s="4"/>
      <c r="P98" s="4"/>
      <c r="Q98" s="4"/>
      <c r="R98" s="4"/>
      <c r="S98" s="4"/>
      <c r="T98" s="4"/>
    </row>
    <row r="99" s="3" customFormat="1" ht="30" customHeight="1" spans="1:20">
      <c r="A99" s="11">
        <v>97</v>
      </c>
      <c r="B99" s="11" t="str">
        <f>"赵一丹"</f>
        <v>赵一丹</v>
      </c>
      <c r="C99" s="11" t="str">
        <f t="shared" si="17"/>
        <v>女</v>
      </c>
      <c r="D99" s="11" t="s">
        <v>100</v>
      </c>
      <c r="E99" s="11" t="s">
        <v>130</v>
      </c>
      <c r="F99" s="11" t="str">
        <f t="shared" si="18"/>
        <v>xerc20250104</v>
      </c>
      <c r="G99" s="12" t="s">
        <v>146</v>
      </c>
      <c r="H99" s="21" t="s">
        <v>48</v>
      </c>
      <c r="I99" s="21" t="s">
        <v>32</v>
      </c>
      <c r="J99" s="16">
        <v>65</v>
      </c>
      <c r="K99" s="11">
        <f t="shared" si="19"/>
        <v>15</v>
      </c>
      <c r="L99" s="12"/>
      <c r="M99" s="4"/>
      <c r="N99" s="4"/>
      <c r="O99" s="4"/>
      <c r="P99" s="4"/>
      <c r="Q99" s="4"/>
      <c r="R99" s="4"/>
      <c r="S99" s="4"/>
      <c r="T99" s="4"/>
    </row>
    <row r="100" s="3" customFormat="1" ht="30" customHeight="1" spans="1:14">
      <c r="A100" s="11">
        <v>98</v>
      </c>
      <c r="B100" s="11" t="str">
        <f>"谢雨航"</f>
        <v>谢雨航</v>
      </c>
      <c r="C100" s="11" t="str">
        <f>"男"</f>
        <v>男</v>
      </c>
      <c r="D100" s="11" t="s">
        <v>100</v>
      </c>
      <c r="E100" s="11" t="s">
        <v>130</v>
      </c>
      <c r="F100" s="11" t="str">
        <f t="shared" si="18"/>
        <v>xerc20250104</v>
      </c>
      <c r="G100" s="12" t="s">
        <v>147</v>
      </c>
      <c r="H100" s="21" t="s">
        <v>46</v>
      </c>
      <c r="I100" s="21" t="s">
        <v>16</v>
      </c>
      <c r="J100" s="16">
        <v>64</v>
      </c>
      <c r="K100" s="11">
        <f t="shared" si="19"/>
        <v>17</v>
      </c>
      <c r="L100" s="12"/>
      <c r="M100" s="18"/>
      <c r="N100" s="19"/>
    </row>
    <row r="101" s="3" customFormat="1" ht="30" customHeight="1" spans="1:14">
      <c r="A101" s="11">
        <v>99</v>
      </c>
      <c r="B101" s="11" t="str">
        <f>"周晓晨"</f>
        <v>周晓晨</v>
      </c>
      <c r="C101" s="11" t="str">
        <f t="shared" ref="C101:C105" si="20">"女"</f>
        <v>女</v>
      </c>
      <c r="D101" s="11" t="s">
        <v>100</v>
      </c>
      <c r="E101" s="11" t="s">
        <v>130</v>
      </c>
      <c r="F101" s="11" t="str">
        <f t="shared" si="18"/>
        <v>xerc20250104</v>
      </c>
      <c r="G101" s="12" t="s">
        <v>148</v>
      </c>
      <c r="H101" s="21" t="s">
        <v>46</v>
      </c>
      <c r="I101" s="21" t="s">
        <v>61</v>
      </c>
      <c r="J101" s="16">
        <v>64</v>
      </c>
      <c r="K101" s="11">
        <f t="shared" si="19"/>
        <v>17</v>
      </c>
      <c r="L101" s="12"/>
      <c r="M101" s="18"/>
      <c r="N101" s="19"/>
    </row>
    <row r="102" s="3" customFormat="1" ht="33" customHeight="1" spans="1:14">
      <c r="A102" s="11">
        <v>100</v>
      </c>
      <c r="B102" s="11" t="str">
        <f>"郭倩"</f>
        <v>郭倩</v>
      </c>
      <c r="C102" s="11" t="str">
        <f t="shared" si="20"/>
        <v>女</v>
      </c>
      <c r="D102" s="11" t="s">
        <v>100</v>
      </c>
      <c r="E102" s="11" t="s">
        <v>130</v>
      </c>
      <c r="F102" s="11" t="str">
        <f t="shared" si="18"/>
        <v>xerc20250104</v>
      </c>
      <c r="G102" s="12" t="s">
        <v>149</v>
      </c>
      <c r="H102" s="21" t="s">
        <v>46</v>
      </c>
      <c r="I102" s="21" t="s">
        <v>40</v>
      </c>
      <c r="J102" s="16">
        <v>61</v>
      </c>
      <c r="K102" s="11">
        <f t="shared" si="19"/>
        <v>19</v>
      </c>
      <c r="L102" s="12"/>
      <c r="M102" s="18"/>
      <c r="N102" s="19"/>
    </row>
    <row r="103" s="3" customFormat="1" ht="33" customHeight="1" spans="1:14">
      <c r="A103" s="11">
        <v>101</v>
      </c>
      <c r="B103" s="11" t="str">
        <f>"何美幸"</f>
        <v>何美幸</v>
      </c>
      <c r="C103" s="11" t="str">
        <f t="shared" si="20"/>
        <v>女</v>
      </c>
      <c r="D103" s="11" t="s">
        <v>100</v>
      </c>
      <c r="E103" s="11" t="s">
        <v>130</v>
      </c>
      <c r="F103" s="11" t="str">
        <f t="shared" si="18"/>
        <v>xerc20250104</v>
      </c>
      <c r="G103" s="12" t="s">
        <v>150</v>
      </c>
      <c r="H103" s="21" t="s">
        <v>46</v>
      </c>
      <c r="I103" s="21" t="s">
        <v>26</v>
      </c>
      <c r="J103" s="16" t="s">
        <v>42</v>
      </c>
      <c r="K103" s="11"/>
      <c r="L103" s="12"/>
      <c r="M103" s="18"/>
      <c r="N103" s="19"/>
    </row>
    <row r="104" s="3" customFormat="1" ht="33" customHeight="1" spans="1:14">
      <c r="A104" s="11">
        <v>102</v>
      </c>
      <c r="B104" s="11" t="str">
        <f>"全小娅"</f>
        <v>全小娅</v>
      </c>
      <c r="C104" s="11" t="str">
        <f t="shared" si="20"/>
        <v>女</v>
      </c>
      <c r="D104" s="11" t="s">
        <v>100</v>
      </c>
      <c r="E104" s="11" t="s">
        <v>130</v>
      </c>
      <c r="F104" s="11" t="str">
        <f t="shared" si="18"/>
        <v>xerc20250104</v>
      </c>
      <c r="G104" s="12" t="s">
        <v>151</v>
      </c>
      <c r="H104" s="21" t="s">
        <v>46</v>
      </c>
      <c r="I104" s="21" t="s">
        <v>44</v>
      </c>
      <c r="J104" s="16" t="s">
        <v>42</v>
      </c>
      <c r="K104" s="11"/>
      <c r="L104" s="12"/>
      <c r="M104" s="18"/>
      <c r="N104" s="19"/>
    </row>
    <row r="105" s="3" customFormat="1" ht="33" customHeight="1" spans="1:14">
      <c r="A105" s="11">
        <v>103</v>
      </c>
      <c r="B105" s="11" t="str">
        <f>"江雨萱"</f>
        <v>江雨萱</v>
      </c>
      <c r="C105" s="11" t="str">
        <f t="shared" si="20"/>
        <v>女</v>
      </c>
      <c r="D105" s="11" t="s">
        <v>100</v>
      </c>
      <c r="E105" s="11" t="s">
        <v>130</v>
      </c>
      <c r="F105" s="11" t="str">
        <f t="shared" si="18"/>
        <v>xerc20250104</v>
      </c>
      <c r="G105" s="12" t="s">
        <v>152</v>
      </c>
      <c r="H105" s="21" t="s">
        <v>46</v>
      </c>
      <c r="I105" s="21" t="s">
        <v>46</v>
      </c>
      <c r="J105" s="16" t="s">
        <v>42</v>
      </c>
      <c r="K105" s="11"/>
      <c r="L105" s="12"/>
      <c r="M105" s="18"/>
      <c r="N105" s="19"/>
    </row>
    <row r="106" s="3" customFormat="1" ht="33" customHeight="1" spans="1:14">
      <c r="A106" s="11">
        <v>104</v>
      </c>
      <c r="B106" s="11" t="str">
        <f>"戴荣超"</f>
        <v>戴荣超</v>
      </c>
      <c r="C106" s="11" t="str">
        <f t="shared" ref="C106:C108" si="21">"男"</f>
        <v>男</v>
      </c>
      <c r="D106" s="11" t="s">
        <v>100</v>
      </c>
      <c r="E106" s="11" t="s">
        <v>130</v>
      </c>
      <c r="F106" s="11" t="str">
        <f t="shared" si="18"/>
        <v>xerc20250104</v>
      </c>
      <c r="G106" s="12" t="s">
        <v>153</v>
      </c>
      <c r="H106" s="21" t="s">
        <v>46</v>
      </c>
      <c r="I106" s="21" t="s">
        <v>52</v>
      </c>
      <c r="J106" s="16" t="s">
        <v>42</v>
      </c>
      <c r="K106" s="11"/>
      <c r="L106" s="12"/>
      <c r="M106" s="18"/>
      <c r="N106" s="19"/>
    </row>
    <row r="107" s="3" customFormat="1" ht="33" customHeight="1" spans="1:14">
      <c r="A107" s="11">
        <v>105</v>
      </c>
      <c r="B107" s="11" t="str">
        <f>"于越"</f>
        <v>于越</v>
      </c>
      <c r="C107" s="11" t="str">
        <f t="shared" si="21"/>
        <v>男</v>
      </c>
      <c r="D107" s="11" t="s">
        <v>100</v>
      </c>
      <c r="E107" s="11" t="s">
        <v>130</v>
      </c>
      <c r="F107" s="11" t="str">
        <f t="shared" si="18"/>
        <v>xerc20250104</v>
      </c>
      <c r="G107" s="12" t="s">
        <v>154</v>
      </c>
      <c r="H107" s="21" t="s">
        <v>46</v>
      </c>
      <c r="I107" s="21" t="s">
        <v>56</v>
      </c>
      <c r="J107" s="16" t="s">
        <v>42</v>
      </c>
      <c r="K107" s="11"/>
      <c r="L107" s="12"/>
      <c r="M107" s="18"/>
      <c r="N107" s="19"/>
    </row>
    <row r="108" s="3" customFormat="1" ht="33" customHeight="1" spans="1:14">
      <c r="A108" s="11">
        <v>106</v>
      </c>
      <c r="B108" s="11" t="str">
        <f>"费啸天"</f>
        <v>费啸天</v>
      </c>
      <c r="C108" s="11" t="str">
        <f t="shared" si="21"/>
        <v>男</v>
      </c>
      <c r="D108" s="11" t="s">
        <v>100</v>
      </c>
      <c r="E108" s="11" t="s">
        <v>130</v>
      </c>
      <c r="F108" s="11" t="str">
        <f t="shared" si="18"/>
        <v>xerc20250104</v>
      </c>
      <c r="G108" s="12" t="s">
        <v>155</v>
      </c>
      <c r="H108" s="21" t="s">
        <v>46</v>
      </c>
      <c r="I108" s="21" t="s">
        <v>24</v>
      </c>
      <c r="J108" s="16" t="s">
        <v>42</v>
      </c>
      <c r="K108" s="11"/>
      <c r="L108" s="12"/>
      <c r="M108" s="18"/>
      <c r="N108" s="19"/>
    </row>
    <row r="109" s="3" customFormat="1" ht="33" customHeight="1" spans="1:14">
      <c r="A109" s="11">
        <v>107</v>
      </c>
      <c r="B109" s="11" t="str">
        <f>"张曼婷"</f>
        <v>张曼婷</v>
      </c>
      <c r="C109" s="11" t="str">
        <f t="shared" ref="C109:C114" si="22">"女"</f>
        <v>女</v>
      </c>
      <c r="D109" s="11" t="s">
        <v>100</v>
      </c>
      <c r="E109" s="11" t="s">
        <v>130</v>
      </c>
      <c r="F109" s="11" t="str">
        <f t="shared" si="18"/>
        <v>xerc20250104</v>
      </c>
      <c r="G109" s="12" t="s">
        <v>156</v>
      </c>
      <c r="H109" s="21" t="s">
        <v>46</v>
      </c>
      <c r="I109" s="21" t="s">
        <v>28</v>
      </c>
      <c r="J109" s="16" t="s">
        <v>42</v>
      </c>
      <c r="K109" s="11"/>
      <c r="L109" s="12"/>
      <c r="M109" s="18"/>
      <c r="N109" s="19"/>
    </row>
    <row r="110" s="3" customFormat="1" ht="33" customHeight="1" spans="1:14">
      <c r="A110" s="11">
        <v>108</v>
      </c>
      <c r="B110" s="11" t="str">
        <f>"谢玉婷"</f>
        <v>谢玉婷</v>
      </c>
      <c r="C110" s="11" t="str">
        <f t="shared" si="22"/>
        <v>女</v>
      </c>
      <c r="D110" s="11" t="s">
        <v>100</v>
      </c>
      <c r="E110" s="11" t="s">
        <v>130</v>
      </c>
      <c r="F110" s="11" t="str">
        <f t="shared" si="18"/>
        <v>xerc20250104</v>
      </c>
      <c r="G110" s="12" t="s">
        <v>157</v>
      </c>
      <c r="H110" s="21" t="s">
        <v>46</v>
      </c>
      <c r="I110" s="21" t="s">
        <v>63</v>
      </c>
      <c r="J110" s="16" t="s">
        <v>42</v>
      </c>
      <c r="K110" s="11"/>
      <c r="L110" s="12"/>
      <c r="M110" s="18"/>
      <c r="N110" s="19"/>
    </row>
    <row r="111" s="3" customFormat="1" ht="33" customHeight="1" spans="1:14">
      <c r="A111" s="11">
        <v>109</v>
      </c>
      <c r="B111" s="11" t="str">
        <f>"杨林笙"</f>
        <v>杨林笙</v>
      </c>
      <c r="C111" s="11" t="str">
        <f>"男"</f>
        <v>男</v>
      </c>
      <c r="D111" s="11" t="s">
        <v>100</v>
      </c>
      <c r="E111" s="11" t="s">
        <v>130</v>
      </c>
      <c r="F111" s="11" t="str">
        <f t="shared" si="18"/>
        <v>xerc20250104</v>
      </c>
      <c r="G111" s="12" t="s">
        <v>158</v>
      </c>
      <c r="H111" s="21" t="s">
        <v>46</v>
      </c>
      <c r="I111" s="21" t="s">
        <v>32</v>
      </c>
      <c r="J111" s="16" t="s">
        <v>42</v>
      </c>
      <c r="K111" s="11"/>
      <c r="L111" s="12"/>
      <c r="M111" s="18"/>
      <c r="N111" s="19"/>
    </row>
    <row r="112" s="3" customFormat="1" ht="33" customHeight="1" spans="1:14">
      <c r="A112" s="11">
        <v>110</v>
      </c>
      <c r="B112" s="11" t="str">
        <f>"段婷"</f>
        <v>段婷</v>
      </c>
      <c r="C112" s="11" t="str">
        <f t="shared" si="22"/>
        <v>女</v>
      </c>
      <c r="D112" s="11" t="s">
        <v>100</v>
      </c>
      <c r="E112" s="11" t="s">
        <v>130</v>
      </c>
      <c r="F112" s="11" t="str">
        <f t="shared" si="18"/>
        <v>xerc20250104</v>
      </c>
      <c r="G112" s="12" t="s">
        <v>159</v>
      </c>
      <c r="H112" s="21" t="s">
        <v>46</v>
      </c>
      <c r="I112" s="21" t="s">
        <v>34</v>
      </c>
      <c r="J112" s="16" t="s">
        <v>42</v>
      </c>
      <c r="K112" s="11"/>
      <c r="L112" s="12"/>
      <c r="M112" s="18"/>
      <c r="N112" s="19"/>
    </row>
    <row r="113" s="3" customFormat="1" ht="33" customHeight="1" spans="1:14">
      <c r="A113" s="11">
        <v>111</v>
      </c>
      <c r="B113" s="11" t="str">
        <f>"向秋庆"</f>
        <v>向秋庆</v>
      </c>
      <c r="C113" s="11" t="str">
        <f t="shared" si="22"/>
        <v>女</v>
      </c>
      <c r="D113" s="11" t="s">
        <v>100</v>
      </c>
      <c r="E113" s="11" t="s">
        <v>130</v>
      </c>
      <c r="F113" s="11" t="str">
        <f t="shared" si="18"/>
        <v>xerc20250104</v>
      </c>
      <c r="G113" s="12" t="s">
        <v>160</v>
      </c>
      <c r="H113" s="21" t="s">
        <v>46</v>
      </c>
      <c r="I113" s="21" t="s">
        <v>65</v>
      </c>
      <c r="J113" s="16" t="s">
        <v>42</v>
      </c>
      <c r="K113" s="11"/>
      <c r="L113" s="12"/>
      <c r="M113" s="18"/>
      <c r="N113" s="19"/>
    </row>
    <row r="114" s="3" customFormat="1" ht="33" customHeight="1" spans="1:14">
      <c r="A114" s="11">
        <v>112</v>
      </c>
      <c r="B114" s="11" t="str">
        <f>"李洋"</f>
        <v>李洋</v>
      </c>
      <c r="C114" s="11" t="str">
        <f t="shared" si="22"/>
        <v>女</v>
      </c>
      <c r="D114" s="11" t="s">
        <v>100</v>
      </c>
      <c r="E114" s="11" t="s">
        <v>130</v>
      </c>
      <c r="F114" s="11" t="str">
        <f t="shared" si="18"/>
        <v>xerc20250104</v>
      </c>
      <c r="G114" s="12" t="s">
        <v>161</v>
      </c>
      <c r="H114" s="21" t="s">
        <v>46</v>
      </c>
      <c r="I114" s="21" t="s">
        <v>38</v>
      </c>
      <c r="J114" s="16" t="s">
        <v>42</v>
      </c>
      <c r="K114" s="11"/>
      <c r="L114" s="12"/>
      <c r="M114" s="18"/>
      <c r="N114" s="19"/>
    </row>
    <row r="115" s="3" customFormat="1" ht="33" customHeight="1" spans="1:14">
      <c r="A115" s="11">
        <v>113</v>
      </c>
      <c r="B115" s="11" t="str">
        <f>"段定聪"</f>
        <v>段定聪</v>
      </c>
      <c r="C115" s="11" t="str">
        <f>"男"</f>
        <v>男</v>
      </c>
      <c r="D115" s="11" t="s">
        <v>100</v>
      </c>
      <c r="E115" s="11" t="s">
        <v>130</v>
      </c>
      <c r="F115" s="11" t="str">
        <f t="shared" si="18"/>
        <v>xerc20250104</v>
      </c>
      <c r="G115" s="12" t="s">
        <v>162</v>
      </c>
      <c r="H115" s="21" t="s">
        <v>46</v>
      </c>
      <c r="I115" s="21" t="s">
        <v>20</v>
      </c>
      <c r="J115" s="16" t="s">
        <v>42</v>
      </c>
      <c r="K115" s="11"/>
      <c r="L115" s="12"/>
      <c r="M115" s="18"/>
      <c r="N115" s="19"/>
    </row>
    <row r="116" s="4" customFormat="1" ht="24" spans="1:20">
      <c r="A116" s="11">
        <v>114</v>
      </c>
      <c r="B116" s="11" t="str">
        <f>"谭晓涵"</f>
        <v>谭晓涵</v>
      </c>
      <c r="C116" s="11" t="str">
        <f t="shared" ref="C116:C119" si="23">"女"</f>
        <v>女</v>
      </c>
      <c r="D116" s="11" t="s">
        <v>100</v>
      </c>
      <c r="E116" s="11" t="s">
        <v>130</v>
      </c>
      <c r="F116" s="11" t="str">
        <f t="shared" si="18"/>
        <v>xerc20250104</v>
      </c>
      <c r="G116" s="12" t="s">
        <v>163</v>
      </c>
      <c r="H116" s="21" t="s">
        <v>46</v>
      </c>
      <c r="I116" s="21" t="s">
        <v>69</v>
      </c>
      <c r="J116" s="16" t="s">
        <v>42</v>
      </c>
      <c r="K116" s="11"/>
      <c r="L116" s="12"/>
      <c r="M116" s="18"/>
      <c r="N116" s="19"/>
      <c r="O116" s="3"/>
      <c r="P116" s="3"/>
      <c r="Q116" s="3"/>
      <c r="R116" s="3"/>
      <c r="S116" s="3"/>
      <c r="T116" s="3"/>
    </row>
    <row r="117" s="4" customFormat="1" ht="24" spans="1:20">
      <c r="A117" s="11">
        <v>115</v>
      </c>
      <c r="B117" s="11" t="str">
        <f>"尹鑫"</f>
        <v>尹鑫</v>
      </c>
      <c r="C117" s="11" t="str">
        <f t="shared" si="23"/>
        <v>女</v>
      </c>
      <c r="D117" s="11" t="s">
        <v>100</v>
      </c>
      <c r="E117" s="11" t="s">
        <v>130</v>
      </c>
      <c r="F117" s="11" t="str">
        <f t="shared" si="18"/>
        <v>xerc20250104</v>
      </c>
      <c r="G117" s="12" t="s">
        <v>164</v>
      </c>
      <c r="H117" s="21" t="s">
        <v>46</v>
      </c>
      <c r="I117" s="21" t="s">
        <v>71</v>
      </c>
      <c r="J117" s="16" t="s">
        <v>42</v>
      </c>
      <c r="K117" s="11"/>
      <c r="L117" s="12"/>
      <c r="M117" s="18"/>
      <c r="N117" s="19"/>
      <c r="O117" s="3"/>
      <c r="P117" s="3"/>
      <c r="Q117" s="3"/>
      <c r="R117" s="3"/>
      <c r="S117" s="3"/>
      <c r="T117" s="3"/>
    </row>
    <row r="118" s="4" customFormat="1" ht="24" spans="1:20">
      <c r="A118" s="11">
        <v>116</v>
      </c>
      <c r="B118" s="11" t="str">
        <f>"赵偲宏"</f>
        <v>赵偲宏</v>
      </c>
      <c r="C118" s="11" t="str">
        <f t="shared" si="23"/>
        <v>女</v>
      </c>
      <c r="D118" s="11" t="s">
        <v>100</v>
      </c>
      <c r="E118" s="11" t="s">
        <v>130</v>
      </c>
      <c r="F118" s="11" t="str">
        <f t="shared" si="18"/>
        <v>xerc20250104</v>
      </c>
      <c r="G118" s="12" t="s">
        <v>165</v>
      </c>
      <c r="H118" s="21" t="s">
        <v>48</v>
      </c>
      <c r="I118" s="21" t="s">
        <v>26</v>
      </c>
      <c r="J118" s="16" t="s">
        <v>42</v>
      </c>
      <c r="K118" s="11"/>
      <c r="L118" s="12"/>
      <c r="M118" s="18"/>
      <c r="N118" s="19"/>
      <c r="O118" s="3"/>
      <c r="P118" s="3"/>
      <c r="Q118" s="3"/>
      <c r="R118" s="3"/>
      <c r="S118" s="3"/>
      <c r="T118" s="3"/>
    </row>
    <row r="119" s="4" customFormat="1" ht="24" spans="1:20">
      <c r="A119" s="11">
        <v>117</v>
      </c>
      <c r="B119" s="11" t="str">
        <f>"张晶晶"</f>
        <v>张晶晶</v>
      </c>
      <c r="C119" s="11" t="str">
        <f t="shared" si="23"/>
        <v>女</v>
      </c>
      <c r="D119" s="11" t="s">
        <v>100</v>
      </c>
      <c r="E119" s="11" t="s">
        <v>130</v>
      </c>
      <c r="F119" s="11" t="str">
        <f t="shared" si="18"/>
        <v>xerc20250104</v>
      </c>
      <c r="G119" s="12" t="s">
        <v>166</v>
      </c>
      <c r="H119" s="21" t="s">
        <v>48</v>
      </c>
      <c r="I119" s="21" t="s">
        <v>46</v>
      </c>
      <c r="J119" s="16" t="s">
        <v>42</v>
      </c>
      <c r="K119" s="11"/>
      <c r="L119" s="12"/>
      <c r="M119" s="18"/>
      <c r="N119" s="19"/>
      <c r="O119" s="3"/>
      <c r="P119" s="3"/>
      <c r="Q119" s="3"/>
      <c r="R119" s="3"/>
      <c r="S119" s="3"/>
      <c r="T119" s="3"/>
    </row>
    <row r="120" s="4" customFormat="1" ht="24" spans="1:20">
      <c r="A120" s="11">
        <v>118</v>
      </c>
      <c r="B120" s="11" t="str">
        <f>"姚昌浩"</f>
        <v>姚昌浩</v>
      </c>
      <c r="C120" s="11" t="str">
        <f>"男"</f>
        <v>男</v>
      </c>
      <c r="D120" s="11" t="s">
        <v>100</v>
      </c>
      <c r="E120" s="11" t="s">
        <v>130</v>
      </c>
      <c r="F120" s="11" t="str">
        <f t="shared" si="18"/>
        <v>xerc20250104</v>
      </c>
      <c r="G120" s="12" t="s">
        <v>167</v>
      </c>
      <c r="H120" s="21" t="s">
        <v>48</v>
      </c>
      <c r="I120" s="21" t="s">
        <v>48</v>
      </c>
      <c r="J120" s="16" t="s">
        <v>42</v>
      </c>
      <c r="K120" s="11"/>
      <c r="L120" s="12"/>
      <c r="M120" s="18"/>
      <c r="N120" s="19"/>
      <c r="O120" s="3"/>
      <c r="P120" s="3"/>
      <c r="Q120" s="3"/>
      <c r="R120" s="3"/>
      <c r="S120" s="3"/>
      <c r="T120" s="3"/>
    </row>
    <row r="121" s="4" customFormat="1" ht="24" spans="1:20">
      <c r="A121" s="11">
        <v>119</v>
      </c>
      <c r="B121" s="11" t="str">
        <f>"梁倩"</f>
        <v>梁倩</v>
      </c>
      <c r="C121" s="11" t="str">
        <f t="shared" ref="C121:C126" si="24">"女"</f>
        <v>女</v>
      </c>
      <c r="D121" s="11" t="s">
        <v>100</v>
      </c>
      <c r="E121" s="11" t="s">
        <v>130</v>
      </c>
      <c r="F121" s="11" t="str">
        <f t="shared" si="18"/>
        <v>xerc20250104</v>
      </c>
      <c r="G121" s="12" t="s">
        <v>168</v>
      </c>
      <c r="H121" s="21" t="s">
        <v>48</v>
      </c>
      <c r="I121" s="21" t="s">
        <v>50</v>
      </c>
      <c r="J121" s="16" t="s">
        <v>42</v>
      </c>
      <c r="K121" s="11"/>
      <c r="L121" s="12"/>
      <c r="M121" s="18"/>
      <c r="N121" s="19"/>
      <c r="O121" s="3"/>
      <c r="P121" s="3"/>
      <c r="Q121" s="3"/>
      <c r="R121" s="3"/>
      <c r="S121" s="3"/>
      <c r="T121" s="3"/>
    </row>
    <row r="122" s="4" customFormat="1" ht="24" spans="1:12">
      <c r="A122" s="11">
        <v>120</v>
      </c>
      <c r="B122" s="11" t="str">
        <f>"邹俊芳"</f>
        <v>邹俊芳</v>
      </c>
      <c r="C122" s="11" t="str">
        <f t="shared" si="24"/>
        <v>女</v>
      </c>
      <c r="D122" s="11" t="s">
        <v>100</v>
      </c>
      <c r="E122" s="11" t="s">
        <v>130</v>
      </c>
      <c r="F122" s="11" t="str">
        <f t="shared" si="18"/>
        <v>xerc20250104</v>
      </c>
      <c r="G122" s="12" t="s">
        <v>169</v>
      </c>
      <c r="H122" s="21" t="s">
        <v>48</v>
      </c>
      <c r="I122" s="21" t="s">
        <v>52</v>
      </c>
      <c r="J122" s="16" t="s">
        <v>42</v>
      </c>
      <c r="K122" s="11"/>
      <c r="L122" s="12"/>
    </row>
    <row r="123" s="4" customFormat="1" ht="24" spans="1:12">
      <c r="A123" s="11">
        <v>121</v>
      </c>
      <c r="B123" s="11" t="str">
        <f>"雷晓丽"</f>
        <v>雷晓丽</v>
      </c>
      <c r="C123" s="11" t="str">
        <f t="shared" si="24"/>
        <v>女</v>
      </c>
      <c r="D123" s="11" t="s">
        <v>100</v>
      </c>
      <c r="E123" s="11" t="s">
        <v>130</v>
      </c>
      <c r="F123" s="11" t="str">
        <f t="shared" si="18"/>
        <v>xerc20250104</v>
      </c>
      <c r="G123" s="12" t="s">
        <v>170</v>
      </c>
      <c r="H123" s="21" t="s">
        <v>48</v>
      </c>
      <c r="I123" s="21" t="s">
        <v>30</v>
      </c>
      <c r="J123" s="16" t="s">
        <v>42</v>
      </c>
      <c r="K123" s="11"/>
      <c r="L123" s="12"/>
    </row>
    <row r="124" s="4" customFormat="1" ht="24" spans="1:12">
      <c r="A124" s="11">
        <v>122</v>
      </c>
      <c r="B124" s="11" t="str">
        <f>"唐彩妮"</f>
        <v>唐彩妮</v>
      </c>
      <c r="C124" s="11" t="str">
        <f t="shared" si="24"/>
        <v>女</v>
      </c>
      <c r="D124" s="11" t="s">
        <v>100</v>
      </c>
      <c r="E124" s="11" t="s">
        <v>130</v>
      </c>
      <c r="F124" s="11" t="str">
        <f t="shared" si="18"/>
        <v>xerc20250104</v>
      </c>
      <c r="G124" s="12" t="s">
        <v>171</v>
      </c>
      <c r="H124" s="21" t="s">
        <v>48</v>
      </c>
      <c r="I124" s="21" t="s">
        <v>61</v>
      </c>
      <c r="J124" s="16" t="s">
        <v>42</v>
      </c>
      <c r="K124" s="11"/>
      <c r="L124" s="12"/>
    </row>
    <row r="125" s="4" customFormat="1" ht="24" spans="1:12">
      <c r="A125" s="11">
        <v>123</v>
      </c>
      <c r="B125" s="11" t="str">
        <f>"田鑫"</f>
        <v>田鑫</v>
      </c>
      <c r="C125" s="11" t="str">
        <f t="shared" si="24"/>
        <v>女</v>
      </c>
      <c r="D125" s="11" t="s">
        <v>100</v>
      </c>
      <c r="E125" s="11" t="s">
        <v>130</v>
      </c>
      <c r="F125" s="11" t="str">
        <f t="shared" si="18"/>
        <v>xerc20250104</v>
      </c>
      <c r="G125" s="12" t="s">
        <v>172</v>
      </c>
      <c r="H125" s="21" t="s">
        <v>48</v>
      </c>
      <c r="I125" s="21" t="s">
        <v>24</v>
      </c>
      <c r="J125" s="16" t="s">
        <v>42</v>
      </c>
      <c r="K125" s="11"/>
      <c r="L125" s="12"/>
    </row>
    <row r="126" s="4" customFormat="1" ht="24" spans="1:12">
      <c r="A126" s="11">
        <v>124</v>
      </c>
      <c r="B126" s="11" t="str">
        <f>"田赟"</f>
        <v>田赟</v>
      </c>
      <c r="C126" s="11" t="str">
        <f t="shared" si="24"/>
        <v>女</v>
      </c>
      <c r="D126" s="11" t="s">
        <v>100</v>
      </c>
      <c r="E126" s="11" t="s">
        <v>130</v>
      </c>
      <c r="F126" s="11" t="str">
        <f t="shared" si="18"/>
        <v>xerc20250104</v>
      </c>
      <c r="G126" s="12" t="s">
        <v>173</v>
      </c>
      <c r="H126" s="21" t="s">
        <v>48</v>
      </c>
      <c r="I126" s="21" t="s">
        <v>40</v>
      </c>
      <c r="J126" s="16" t="s">
        <v>42</v>
      </c>
      <c r="K126" s="11"/>
      <c r="L126" s="12"/>
    </row>
    <row r="127" s="4" customFormat="1" ht="24" spans="1:12">
      <c r="A127" s="11">
        <v>125</v>
      </c>
      <c r="B127" s="11" t="str">
        <f>"樊明轩"</f>
        <v>樊明轩</v>
      </c>
      <c r="C127" s="11" t="str">
        <f>"男"</f>
        <v>男</v>
      </c>
      <c r="D127" s="11" t="s">
        <v>100</v>
      </c>
      <c r="E127" s="11" t="s">
        <v>130</v>
      </c>
      <c r="F127" s="11" t="str">
        <f t="shared" si="18"/>
        <v>xerc20250104</v>
      </c>
      <c r="G127" s="12" t="s">
        <v>174</v>
      </c>
      <c r="H127" s="21" t="s">
        <v>48</v>
      </c>
      <c r="I127" s="21" t="s">
        <v>63</v>
      </c>
      <c r="J127" s="16" t="s">
        <v>42</v>
      </c>
      <c r="K127" s="11"/>
      <c r="L127" s="12"/>
    </row>
    <row r="128" s="4" customFormat="1" ht="24" spans="1:12">
      <c r="A128" s="11">
        <v>126</v>
      </c>
      <c r="B128" s="11" t="str">
        <f>"潘灿荷"</f>
        <v>潘灿荷</v>
      </c>
      <c r="C128" s="11" t="str">
        <f t="shared" ref="C128:C131" si="25">"女"</f>
        <v>女</v>
      </c>
      <c r="D128" s="11" t="s">
        <v>100</v>
      </c>
      <c r="E128" s="11" t="s">
        <v>130</v>
      </c>
      <c r="F128" s="11" t="str">
        <f t="shared" si="18"/>
        <v>xerc20250104</v>
      </c>
      <c r="G128" s="12" t="s">
        <v>175</v>
      </c>
      <c r="H128" s="21" t="s">
        <v>48</v>
      </c>
      <c r="I128" s="21" t="s">
        <v>34</v>
      </c>
      <c r="J128" s="16" t="s">
        <v>42</v>
      </c>
      <c r="K128" s="11"/>
      <c r="L128" s="12"/>
    </row>
    <row r="129" s="4" customFormat="1" ht="24" spans="1:12">
      <c r="A129" s="11">
        <v>127</v>
      </c>
      <c r="B129" s="11" t="str">
        <f>"梁靖"</f>
        <v>梁靖</v>
      </c>
      <c r="C129" s="11" t="str">
        <f t="shared" si="25"/>
        <v>女</v>
      </c>
      <c r="D129" s="11" t="s">
        <v>100</v>
      </c>
      <c r="E129" s="11" t="s">
        <v>130</v>
      </c>
      <c r="F129" s="11" t="str">
        <f t="shared" si="18"/>
        <v>xerc20250104</v>
      </c>
      <c r="G129" s="12" t="s">
        <v>176</v>
      </c>
      <c r="H129" s="21" t="s">
        <v>48</v>
      </c>
      <c r="I129" s="21" t="s">
        <v>65</v>
      </c>
      <c r="J129" s="16" t="s">
        <v>42</v>
      </c>
      <c r="K129" s="11"/>
      <c r="L129" s="12"/>
    </row>
    <row r="130" s="4" customFormat="1" ht="24" spans="1:12">
      <c r="A130" s="11">
        <v>128</v>
      </c>
      <c r="B130" s="11" t="str">
        <f>"马丹妮"</f>
        <v>马丹妮</v>
      </c>
      <c r="C130" s="11" t="str">
        <f t="shared" si="25"/>
        <v>女</v>
      </c>
      <c r="D130" s="11" t="s">
        <v>100</v>
      </c>
      <c r="E130" s="11" t="s">
        <v>130</v>
      </c>
      <c r="F130" s="11" t="str">
        <f t="shared" si="18"/>
        <v>xerc20250104</v>
      </c>
      <c r="G130" s="12" t="s">
        <v>177</v>
      </c>
      <c r="H130" s="21" t="s">
        <v>48</v>
      </c>
      <c r="I130" s="21" t="s">
        <v>67</v>
      </c>
      <c r="J130" s="16" t="s">
        <v>42</v>
      </c>
      <c r="K130" s="11"/>
      <c r="L130" s="12"/>
    </row>
    <row r="131" s="4" customFormat="1" ht="24" spans="1:12">
      <c r="A131" s="11">
        <v>129</v>
      </c>
      <c r="B131" s="11" t="str">
        <f>"张慧"</f>
        <v>张慧</v>
      </c>
      <c r="C131" s="11" t="str">
        <f t="shared" si="25"/>
        <v>女</v>
      </c>
      <c r="D131" s="11" t="s">
        <v>100</v>
      </c>
      <c r="E131" s="11" t="s">
        <v>130</v>
      </c>
      <c r="F131" s="11" t="str">
        <f t="shared" si="18"/>
        <v>xerc20250104</v>
      </c>
      <c r="G131" s="12" t="s">
        <v>178</v>
      </c>
      <c r="H131" s="21" t="s">
        <v>48</v>
      </c>
      <c r="I131" s="21" t="s">
        <v>36</v>
      </c>
      <c r="J131" s="16" t="s">
        <v>42</v>
      </c>
      <c r="K131" s="11"/>
      <c r="L131" s="12"/>
    </row>
    <row r="132" s="4" customFormat="1" ht="24" spans="1:12">
      <c r="A132" s="11">
        <v>130</v>
      </c>
      <c r="B132" s="11" t="str">
        <f>"舒永前"</f>
        <v>舒永前</v>
      </c>
      <c r="C132" s="11" t="str">
        <f>"男"</f>
        <v>男</v>
      </c>
      <c r="D132" s="11" t="s">
        <v>100</v>
      </c>
      <c r="E132" s="11" t="s">
        <v>130</v>
      </c>
      <c r="F132" s="11" t="str">
        <f t="shared" si="18"/>
        <v>xerc20250104</v>
      </c>
      <c r="G132" s="12" t="s">
        <v>179</v>
      </c>
      <c r="H132" s="21" t="s">
        <v>48</v>
      </c>
      <c r="I132" s="21" t="s">
        <v>38</v>
      </c>
      <c r="J132" s="16" t="s">
        <v>42</v>
      </c>
      <c r="K132" s="11"/>
      <c r="L132" s="12"/>
    </row>
    <row r="133" s="4" customFormat="1" ht="24" spans="1:12">
      <c r="A133" s="11">
        <v>131</v>
      </c>
      <c r="B133" s="11" t="str">
        <f>"李碧野"</f>
        <v>李碧野</v>
      </c>
      <c r="C133" s="11" t="str">
        <f t="shared" ref="C133:C135" si="26">"女"</f>
        <v>女</v>
      </c>
      <c r="D133" s="11" t="s">
        <v>100</v>
      </c>
      <c r="E133" s="11" t="s">
        <v>130</v>
      </c>
      <c r="F133" s="11" t="str">
        <f t="shared" si="18"/>
        <v>xerc20250104</v>
      </c>
      <c r="G133" s="12" t="s">
        <v>180</v>
      </c>
      <c r="H133" s="21" t="s">
        <v>48</v>
      </c>
      <c r="I133" s="21" t="s">
        <v>20</v>
      </c>
      <c r="J133" s="16" t="s">
        <v>42</v>
      </c>
      <c r="K133" s="11"/>
      <c r="L133" s="12"/>
    </row>
    <row r="134" s="4" customFormat="1" ht="24" spans="1:12">
      <c r="A134" s="11">
        <v>132</v>
      </c>
      <c r="B134" s="11" t="str">
        <f>"邓丽萍"</f>
        <v>邓丽萍</v>
      </c>
      <c r="C134" s="11" t="str">
        <f t="shared" si="26"/>
        <v>女</v>
      </c>
      <c r="D134" s="11" t="s">
        <v>100</v>
      </c>
      <c r="E134" s="11" t="s">
        <v>130</v>
      </c>
      <c r="F134" s="11" t="str">
        <f t="shared" si="18"/>
        <v>xerc20250104</v>
      </c>
      <c r="G134" s="12" t="s">
        <v>181</v>
      </c>
      <c r="H134" s="21" t="s">
        <v>48</v>
      </c>
      <c r="I134" s="21" t="s">
        <v>69</v>
      </c>
      <c r="J134" s="16" t="s">
        <v>42</v>
      </c>
      <c r="K134" s="11"/>
      <c r="L134" s="12"/>
    </row>
    <row r="135" s="4" customFormat="1" ht="24" spans="1:12">
      <c r="A135" s="11">
        <v>133</v>
      </c>
      <c r="B135" s="11" t="str">
        <f>"张姝"</f>
        <v>张姝</v>
      </c>
      <c r="C135" s="11" t="str">
        <f t="shared" si="26"/>
        <v>女</v>
      </c>
      <c r="D135" s="11" t="s">
        <v>100</v>
      </c>
      <c r="E135" s="11" t="s">
        <v>130</v>
      </c>
      <c r="F135" s="11" t="str">
        <f t="shared" si="18"/>
        <v>xerc20250104</v>
      </c>
      <c r="G135" s="12" t="s">
        <v>182</v>
      </c>
      <c r="H135" s="21" t="s">
        <v>48</v>
      </c>
      <c r="I135" s="21" t="s">
        <v>71</v>
      </c>
      <c r="J135" s="16" t="s">
        <v>42</v>
      </c>
      <c r="K135" s="11"/>
      <c r="L135" s="12"/>
    </row>
    <row r="136" s="4" customFormat="1" ht="24" spans="1:12">
      <c r="A136" s="11">
        <v>134</v>
      </c>
      <c r="B136" s="11" t="str">
        <f>"张权"</f>
        <v>张权</v>
      </c>
      <c r="C136" s="11" t="str">
        <f t="shared" ref="C136:C142" si="27">"男"</f>
        <v>男</v>
      </c>
      <c r="D136" s="11" t="s">
        <v>183</v>
      </c>
      <c r="E136" s="11" t="s">
        <v>184</v>
      </c>
      <c r="F136" s="11" t="str">
        <f t="shared" ref="F136:F163" si="28">"xerc20250105"</f>
        <v>xerc20250105</v>
      </c>
      <c r="G136" s="12" t="s">
        <v>185</v>
      </c>
      <c r="H136" s="21" t="s">
        <v>50</v>
      </c>
      <c r="I136" s="21" t="s">
        <v>26</v>
      </c>
      <c r="J136" s="16">
        <v>74</v>
      </c>
      <c r="K136" s="17">
        <f t="shared" ref="K136:K142" si="29">RANK(J136,$J$136:$J$163)</f>
        <v>1</v>
      </c>
      <c r="L136" s="10" t="s">
        <v>18</v>
      </c>
    </row>
    <row r="137" s="4" customFormat="1" ht="24" spans="1:12">
      <c r="A137" s="11">
        <v>135</v>
      </c>
      <c r="B137" s="11" t="str">
        <f>"姚佳"</f>
        <v>姚佳</v>
      </c>
      <c r="C137" s="11" t="str">
        <f t="shared" ref="C137:C139" si="30">"女"</f>
        <v>女</v>
      </c>
      <c r="D137" s="11" t="s">
        <v>183</v>
      </c>
      <c r="E137" s="11" t="s">
        <v>184</v>
      </c>
      <c r="F137" s="11" t="str">
        <f t="shared" si="28"/>
        <v>xerc20250105</v>
      </c>
      <c r="G137" s="12" t="s">
        <v>186</v>
      </c>
      <c r="H137" s="21" t="s">
        <v>50</v>
      </c>
      <c r="I137" s="21" t="s">
        <v>28</v>
      </c>
      <c r="J137" s="16">
        <v>73</v>
      </c>
      <c r="K137" s="17">
        <f t="shared" si="29"/>
        <v>2</v>
      </c>
      <c r="L137" s="10" t="s">
        <v>18</v>
      </c>
    </row>
    <row r="138" s="4" customFormat="1" ht="24" spans="1:12">
      <c r="A138" s="11">
        <v>136</v>
      </c>
      <c r="B138" s="11" t="str">
        <f>"刘欢"</f>
        <v>刘欢</v>
      </c>
      <c r="C138" s="11" t="str">
        <f t="shared" si="30"/>
        <v>女</v>
      </c>
      <c r="D138" s="11" t="s">
        <v>183</v>
      </c>
      <c r="E138" s="11" t="s">
        <v>184</v>
      </c>
      <c r="F138" s="11" t="str">
        <f t="shared" si="28"/>
        <v>xerc20250105</v>
      </c>
      <c r="G138" s="12" t="s">
        <v>187</v>
      </c>
      <c r="H138" s="21" t="s">
        <v>50</v>
      </c>
      <c r="I138" s="21" t="s">
        <v>46</v>
      </c>
      <c r="J138" s="16">
        <v>66</v>
      </c>
      <c r="K138" s="17">
        <f t="shared" si="29"/>
        <v>3</v>
      </c>
      <c r="L138" s="10" t="s">
        <v>18</v>
      </c>
    </row>
    <row r="139" s="4" customFormat="1" ht="24" spans="1:12">
      <c r="A139" s="11">
        <v>137</v>
      </c>
      <c r="B139" s="11" t="str">
        <f>"黄琳星"</f>
        <v>黄琳星</v>
      </c>
      <c r="C139" s="11" t="str">
        <f t="shared" si="30"/>
        <v>女</v>
      </c>
      <c r="D139" s="11" t="s">
        <v>183</v>
      </c>
      <c r="E139" s="11" t="s">
        <v>184</v>
      </c>
      <c r="F139" s="11" t="str">
        <f t="shared" si="28"/>
        <v>xerc20250105</v>
      </c>
      <c r="G139" s="12" t="s">
        <v>188</v>
      </c>
      <c r="H139" s="21" t="s">
        <v>50</v>
      </c>
      <c r="I139" s="21" t="s">
        <v>52</v>
      </c>
      <c r="J139" s="16">
        <v>60</v>
      </c>
      <c r="K139" s="11">
        <f t="shared" si="29"/>
        <v>4</v>
      </c>
      <c r="L139" s="12"/>
    </row>
    <row r="140" s="4" customFormat="1" ht="24" spans="1:12">
      <c r="A140" s="11">
        <v>138</v>
      </c>
      <c r="B140" s="11" t="str">
        <f>"尚吕昕"</f>
        <v>尚吕昕</v>
      </c>
      <c r="C140" s="11" t="str">
        <f t="shared" si="27"/>
        <v>男</v>
      </c>
      <c r="D140" s="11" t="s">
        <v>183</v>
      </c>
      <c r="E140" s="11" t="s">
        <v>184</v>
      </c>
      <c r="F140" s="11" t="str">
        <f t="shared" si="28"/>
        <v>xerc20250105</v>
      </c>
      <c r="G140" s="12" t="s">
        <v>189</v>
      </c>
      <c r="H140" s="21" t="s">
        <v>50</v>
      </c>
      <c r="I140" s="21" t="s">
        <v>20</v>
      </c>
      <c r="J140" s="16">
        <v>60</v>
      </c>
      <c r="K140" s="11">
        <f t="shared" si="29"/>
        <v>4</v>
      </c>
      <c r="L140" s="12"/>
    </row>
    <row r="141" s="4" customFormat="1" ht="24" spans="1:12">
      <c r="A141" s="11">
        <v>139</v>
      </c>
      <c r="B141" s="11" t="str">
        <f>"林红"</f>
        <v>林红</v>
      </c>
      <c r="C141" s="11" t="str">
        <f t="shared" si="27"/>
        <v>男</v>
      </c>
      <c r="D141" s="11" t="s">
        <v>183</v>
      </c>
      <c r="E141" s="11" t="s">
        <v>184</v>
      </c>
      <c r="F141" s="11" t="str">
        <f t="shared" si="28"/>
        <v>xerc20250105</v>
      </c>
      <c r="G141" s="12" t="s">
        <v>190</v>
      </c>
      <c r="H141" s="21" t="s">
        <v>50</v>
      </c>
      <c r="I141" s="21" t="s">
        <v>56</v>
      </c>
      <c r="J141" s="16">
        <v>55</v>
      </c>
      <c r="K141" s="11">
        <f t="shared" si="29"/>
        <v>6</v>
      </c>
      <c r="L141" s="12"/>
    </row>
    <row r="142" s="4" customFormat="1" ht="24" spans="1:12">
      <c r="A142" s="11">
        <v>140</v>
      </c>
      <c r="B142" s="11" t="str">
        <f>"乐燚"</f>
        <v>乐燚</v>
      </c>
      <c r="C142" s="11" t="str">
        <f t="shared" si="27"/>
        <v>男</v>
      </c>
      <c r="D142" s="11" t="s">
        <v>183</v>
      </c>
      <c r="E142" s="11" t="s">
        <v>184</v>
      </c>
      <c r="F142" s="11" t="str">
        <f t="shared" si="28"/>
        <v>xerc20250105</v>
      </c>
      <c r="G142" s="12" t="s">
        <v>191</v>
      </c>
      <c r="H142" s="21" t="s">
        <v>50</v>
      </c>
      <c r="I142" s="21" t="s">
        <v>38</v>
      </c>
      <c r="J142" s="16">
        <v>53</v>
      </c>
      <c r="K142" s="11">
        <f t="shared" si="29"/>
        <v>7</v>
      </c>
      <c r="L142" s="12"/>
    </row>
    <row r="143" s="4" customFormat="1" ht="24" spans="1:12">
      <c r="A143" s="11">
        <v>141</v>
      </c>
      <c r="B143" s="11" t="str">
        <f>"周尹霜"</f>
        <v>周尹霜</v>
      </c>
      <c r="C143" s="11" t="str">
        <f t="shared" ref="C143:C147" si="31">"女"</f>
        <v>女</v>
      </c>
      <c r="D143" s="11" t="s">
        <v>183</v>
      </c>
      <c r="E143" s="11" t="s">
        <v>184</v>
      </c>
      <c r="F143" s="11" t="str">
        <f t="shared" si="28"/>
        <v>xerc20250105</v>
      </c>
      <c r="G143" s="12" t="s">
        <v>192</v>
      </c>
      <c r="H143" s="21" t="s">
        <v>50</v>
      </c>
      <c r="I143" s="21" t="s">
        <v>17</v>
      </c>
      <c r="J143" s="16" t="s">
        <v>42</v>
      </c>
      <c r="K143" s="11"/>
      <c r="L143" s="12"/>
    </row>
    <row r="144" s="4" customFormat="1" ht="24" spans="1:12">
      <c r="A144" s="11">
        <v>142</v>
      </c>
      <c r="B144" s="11" t="str">
        <f>"何秀巡"</f>
        <v>何秀巡</v>
      </c>
      <c r="C144" s="11" t="str">
        <f t="shared" ref="C144:C149" si="32">"男"</f>
        <v>男</v>
      </c>
      <c r="D144" s="11" t="s">
        <v>183</v>
      </c>
      <c r="E144" s="11" t="s">
        <v>184</v>
      </c>
      <c r="F144" s="11" t="str">
        <f t="shared" si="28"/>
        <v>xerc20250105</v>
      </c>
      <c r="G144" s="12" t="s">
        <v>193</v>
      </c>
      <c r="H144" s="21" t="s">
        <v>50</v>
      </c>
      <c r="I144" s="21" t="s">
        <v>44</v>
      </c>
      <c r="J144" s="16" t="s">
        <v>42</v>
      </c>
      <c r="K144" s="11"/>
      <c r="L144" s="12"/>
    </row>
    <row r="145" s="4" customFormat="1" ht="24" spans="1:12">
      <c r="A145" s="11">
        <v>143</v>
      </c>
      <c r="B145" s="11" t="str">
        <f>"田瑶"</f>
        <v>田瑶</v>
      </c>
      <c r="C145" s="11" t="str">
        <f t="shared" si="31"/>
        <v>女</v>
      </c>
      <c r="D145" s="11" t="s">
        <v>183</v>
      </c>
      <c r="E145" s="11" t="s">
        <v>184</v>
      </c>
      <c r="F145" s="11" t="str">
        <f t="shared" si="28"/>
        <v>xerc20250105</v>
      </c>
      <c r="G145" s="12" t="s">
        <v>194</v>
      </c>
      <c r="H145" s="21" t="s">
        <v>50</v>
      </c>
      <c r="I145" s="21" t="s">
        <v>48</v>
      </c>
      <c r="J145" s="16" t="s">
        <v>42</v>
      </c>
      <c r="K145" s="11"/>
      <c r="L145" s="12"/>
    </row>
    <row r="146" s="4" customFormat="1" ht="24" spans="1:12">
      <c r="A146" s="11">
        <v>144</v>
      </c>
      <c r="B146" s="11" t="str">
        <f>"王天乐"</f>
        <v>王天乐</v>
      </c>
      <c r="C146" s="11" t="str">
        <f t="shared" si="32"/>
        <v>男</v>
      </c>
      <c r="D146" s="11" t="s">
        <v>183</v>
      </c>
      <c r="E146" s="11" t="s">
        <v>184</v>
      </c>
      <c r="F146" s="11" t="str">
        <f t="shared" si="28"/>
        <v>xerc20250105</v>
      </c>
      <c r="G146" s="12" t="s">
        <v>195</v>
      </c>
      <c r="H146" s="21" t="s">
        <v>50</v>
      </c>
      <c r="I146" s="21" t="s">
        <v>50</v>
      </c>
      <c r="J146" s="16" t="s">
        <v>42</v>
      </c>
      <c r="K146" s="11"/>
      <c r="L146" s="12"/>
    </row>
    <row r="147" s="4" customFormat="1" ht="24" spans="1:12">
      <c r="A147" s="11">
        <v>145</v>
      </c>
      <c r="B147" s="11" t="str">
        <f>"田常炜"</f>
        <v>田常炜</v>
      </c>
      <c r="C147" s="11" t="str">
        <f t="shared" si="31"/>
        <v>女</v>
      </c>
      <c r="D147" s="11" t="s">
        <v>183</v>
      </c>
      <c r="E147" s="11" t="s">
        <v>184</v>
      </c>
      <c r="F147" s="11" t="str">
        <f t="shared" si="28"/>
        <v>xerc20250105</v>
      </c>
      <c r="G147" s="12" t="s">
        <v>196</v>
      </c>
      <c r="H147" s="21" t="s">
        <v>50</v>
      </c>
      <c r="I147" s="21" t="s">
        <v>30</v>
      </c>
      <c r="J147" s="16" t="s">
        <v>42</v>
      </c>
      <c r="K147" s="11"/>
      <c r="L147" s="12"/>
    </row>
    <row r="148" s="4" customFormat="1" ht="24" spans="1:12">
      <c r="A148" s="11">
        <v>146</v>
      </c>
      <c r="B148" s="11" t="str">
        <f>"何良荫"</f>
        <v>何良荫</v>
      </c>
      <c r="C148" s="11" t="str">
        <f t="shared" si="32"/>
        <v>男</v>
      </c>
      <c r="D148" s="11" t="s">
        <v>183</v>
      </c>
      <c r="E148" s="11" t="s">
        <v>184</v>
      </c>
      <c r="F148" s="11" t="str">
        <f t="shared" si="28"/>
        <v>xerc20250105</v>
      </c>
      <c r="G148" s="12" t="s">
        <v>197</v>
      </c>
      <c r="H148" s="21" t="s">
        <v>50</v>
      </c>
      <c r="I148" s="21" t="s">
        <v>54</v>
      </c>
      <c r="J148" s="16" t="s">
        <v>42</v>
      </c>
      <c r="K148" s="11"/>
      <c r="L148" s="12"/>
    </row>
    <row r="149" s="4" customFormat="1" ht="24" spans="1:12">
      <c r="A149" s="11">
        <v>147</v>
      </c>
      <c r="B149" s="11" t="str">
        <f>"王子涵"</f>
        <v>王子涵</v>
      </c>
      <c r="C149" s="11" t="str">
        <f t="shared" si="32"/>
        <v>男</v>
      </c>
      <c r="D149" s="11" t="s">
        <v>183</v>
      </c>
      <c r="E149" s="11" t="s">
        <v>184</v>
      </c>
      <c r="F149" s="11" t="str">
        <f t="shared" si="28"/>
        <v>xerc20250105</v>
      </c>
      <c r="G149" s="12" t="s">
        <v>198</v>
      </c>
      <c r="H149" s="21" t="s">
        <v>50</v>
      </c>
      <c r="I149" s="21" t="s">
        <v>16</v>
      </c>
      <c r="J149" s="16" t="s">
        <v>42</v>
      </c>
      <c r="K149" s="11"/>
      <c r="L149" s="12"/>
    </row>
    <row r="150" s="4" customFormat="1" ht="24" spans="1:12">
      <c r="A150" s="11">
        <v>148</v>
      </c>
      <c r="B150" s="11" t="str">
        <f>"田慕娟"</f>
        <v>田慕娟</v>
      </c>
      <c r="C150" s="11" t="str">
        <f t="shared" ref="C150:C153" si="33">"女"</f>
        <v>女</v>
      </c>
      <c r="D150" s="11" t="s">
        <v>183</v>
      </c>
      <c r="E150" s="11" t="s">
        <v>184</v>
      </c>
      <c r="F150" s="11" t="str">
        <f t="shared" si="28"/>
        <v>xerc20250105</v>
      </c>
      <c r="G150" s="12" t="s">
        <v>199</v>
      </c>
      <c r="H150" s="21" t="s">
        <v>50</v>
      </c>
      <c r="I150" s="21" t="s">
        <v>59</v>
      </c>
      <c r="J150" s="16" t="s">
        <v>42</v>
      </c>
      <c r="K150" s="11"/>
      <c r="L150" s="12"/>
    </row>
    <row r="151" s="4" customFormat="1" ht="24" spans="1:12">
      <c r="A151" s="11">
        <v>149</v>
      </c>
      <c r="B151" s="11" t="str">
        <f>"段丙航"</f>
        <v>段丙航</v>
      </c>
      <c r="C151" s="11" t="str">
        <f t="shared" ref="C151:C157" si="34">"男"</f>
        <v>男</v>
      </c>
      <c r="D151" s="11" t="s">
        <v>183</v>
      </c>
      <c r="E151" s="11" t="s">
        <v>184</v>
      </c>
      <c r="F151" s="11" t="str">
        <f t="shared" si="28"/>
        <v>xerc20250105</v>
      </c>
      <c r="G151" s="12" t="s">
        <v>200</v>
      </c>
      <c r="H151" s="21" t="s">
        <v>50</v>
      </c>
      <c r="I151" s="21" t="s">
        <v>61</v>
      </c>
      <c r="J151" s="16" t="s">
        <v>42</v>
      </c>
      <c r="K151" s="11"/>
      <c r="L151" s="12"/>
    </row>
    <row r="152" s="4" customFormat="1" ht="24" spans="1:12">
      <c r="A152" s="11">
        <v>150</v>
      </c>
      <c r="B152" s="11" t="str">
        <f>"谭丽君"</f>
        <v>谭丽君</v>
      </c>
      <c r="C152" s="11" t="str">
        <f t="shared" si="33"/>
        <v>女</v>
      </c>
      <c r="D152" s="11" t="s">
        <v>183</v>
      </c>
      <c r="E152" s="11" t="s">
        <v>184</v>
      </c>
      <c r="F152" s="11" t="str">
        <f t="shared" si="28"/>
        <v>xerc20250105</v>
      </c>
      <c r="G152" s="12" t="s">
        <v>201</v>
      </c>
      <c r="H152" s="21" t="s">
        <v>50</v>
      </c>
      <c r="I152" s="21" t="s">
        <v>24</v>
      </c>
      <c r="J152" s="16" t="s">
        <v>42</v>
      </c>
      <c r="K152" s="11"/>
      <c r="L152" s="12"/>
    </row>
    <row r="153" s="4" customFormat="1" ht="24" spans="1:12">
      <c r="A153" s="11">
        <v>151</v>
      </c>
      <c r="B153" s="11" t="str">
        <f>"刘晨溪"</f>
        <v>刘晨溪</v>
      </c>
      <c r="C153" s="11" t="str">
        <f t="shared" si="33"/>
        <v>女</v>
      </c>
      <c r="D153" s="11" t="s">
        <v>183</v>
      </c>
      <c r="E153" s="11" t="s">
        <v>184</v>
      </c>
      <c r="F153" s="11" t="str">
        <f t="shared" si="28"/>
        <v>xerc20250105</v>
      </c>
      <c r="G153" s="12" t="s">
        <v>202</v>
      </c>
      <c r="H153" s="21" t="s">
        <v>50</v>
      </c>
      <c r="I153" s="21" t="s">
        <v>40</v>
      </c>
      <c r="J153" s="16" t="s">
        <v>42</v>
      </c>
      <c r="K153" s="11"/>
      <c r="L153" s="12"/>
    </row>
    <row r="154" s="4" customFormat="1" ht="24" spans="1:12">
      <c r="A154" s="11">
        <v>152</v>
      </c>
      <c r="B154" s="11" t="str">
        <f>"许炜"</f>
        <v>许炜</v>
      </c>
      <c r="C154" s="11" t="str">
        <f t="shared" si="34"/>
        <v>男</v>
      </c>
      <c r="D154" s="11" t="s">
        <v>183</v>
      </c>
      <c r="E154" s="11" t="s">
        <v>184</v>
      </c>
      <c r="F154" s="11" t="str">
        <f t="shared" si="28"/>
        <v>xerc20250105</v>
      </c>
      <c r="G154" s="12" t="s">
        <v>203</v>
      </c>
      <c r="H154" s="21" t="s">
        <v>50</v>
      </c>
      <c r="I154" s="21" t="s">
        <v>63</v>
      </c>
      <c r="J154" s="16" t="s">
        <v>42</v>
      </c>
      <c r="K154" s="11"/>
      <c r="L154" s="12"/>
    </row>
    <row r="155" s="4" customFormat="1" ht="24" spans="1:12">
      <c r="A155" s="11">
        <v>153</v>
      </c>
      <c r="B155" s="11" t="str">
        <f>"刘翔"</f>
        <v>刘翔</v>
      </c>
      <c r="C155" s="11" t="str">
        <f t="shared" si="34"/>
        <v>男</v>
      </c>
      <c r="D155" s="11" t="s">
        <v>183</v>
      </c>
      <c r="E155" s="11" t="s">
        <v>184</v>
      </c>
      <c r="F155" s="11" t="str">
        <f t="shared" si="28"/>
        <v>xerc20250105</v>
      </c>
      <c r="G155" s="12" t="s">
        <v>204</v>
      </c>
      <c r="H155" s="21" t="s">
        <v>50</v>
      </c>
      <c r="I155" s="21" t="s">
        <v>32</v>
      </c>
      <c r="J155" s="16" t="s">
        <v>42</v>
      </c>
      <c r="K155" s="11"/>
      <c r="L155" s="12"/>
    </row>
    <row r="156" s="4" customFormat="1" ht="24" spans="1:12">
      <c r="A156" s="11">
        <v>154</v>
      </c>
      <c r="B156" s="11" t="str">
        <f>"柯宇"</f>
        <v>柯宇</v>
      </c>
      <c r="C156" s="11" t="str">
        <f t="shared" si="34"/>
        <v>男</v>
      </c>
      <c r="D156" s="11" t="s">
        <v>183</v>
      </c>
      <c r="E156" s="11" t="s">
        <v>184</v>
      </c>
      <c r="F156" s="11" t="str">
        <f t="shared" si="28"/>
        <v>xerc20250105</v>
      </c>
      <c r="G156" s="12" t="s">
        <v>205</v>
      </c>
      <c r="H156" s="21" t="s">
        <v>50</v>
      </c>
      <c r="I156" s="21" t="s">
        <v>34</v>
      </c>
      <c r="J156" s="16" t="s">
        <v>42</v>
      </c>
      <c r="K156" s="11"/>
      <c r="L156" s="12"/>
    </row>
    <row r="157" s="4" customFormat="1" ht="24" spans="1:12">
      <c r="A157" s="11">
        <v>155</v>
      </c>
      <c r="B157" s="11" t="str">
        <f>"陈煌"</f>
        <v>陈煌</v>
      </c>
      <c r="C157" s="11" t="str">
        <f t="shared" si="34"/>
        <v>男</v>
      </c>
      <c r="D157" s="11" t="s">
        <v>183</v>
      </c>
      <c r="E157" s="11" t="s">
        <v>184</v>
      </c>
      <c r="F157" s="11" t="str">
        <f t="shared" si="28"/>
        <v>xerc20250105</v>
      </c>
      <c r="G157" s="12" t="s">
        <v>206</v>
      </c>
      <c r="H157" s="21" t="s">
        <v>50</v>
      </c>
      <c r="I157" s="21" t="s">
        <v>65</v>
      </c>
      <c r="J157" s="16" t="s">
        <v>42</v>
      </c>
      <c r="K157" s="11"/>
      <c r="L157" s="12"/>
    </row>
    <row r="158" s="4" customFormat="1" ht="24" spans="1:12">
      <c r="A158" s="11">
        <v>156</v>
      </c>
      <c r="B158" s="11" t="str">
        <f>"杨咏梅"</f>
        <v>杨咏梅</v>
      </c>
      <c r="C158" s="11" t="str">
        <f t="shared" ref="C158:C163" si="35">"女"</f>
        <v>女</v>
      </c>
      <c r="D158" s="11" t="s">
        <v>183</v>
      </c>
      <c r="E158" s="11" t="s">
        <v>184</v>
      </c>
      <c r="F158" s="11" t="str">
        <f t="shared" si="28"/>
        <v>xerc20250105</v>
      </c>
      <c r="G158" s="12" t="s">
        <v>207</v>
      </c>
      <c r="H158" s="21" t="s">
        <v>50</v>
      </c>
      <c r="I158" s="21" t="s">
        <v>67</v>
      </c>
      <c r="J158" s="16" t="s">
        <v>42</v>
      </c>
      <c r="K158" s="11"/>
      <c r="L158" s="12"/>
    </row>
    <row r="159" s="4" customFormat="1" ht="24" spans="1:12">
      <c r="A159" s="11">
        <v>157</v>
      </c>
      <c r="B159" s="11" t="str">
        <f>"李德方"</f>
        <v>李德方</v>
      </c>
      <c r="C159" s="11" t="str">
        <f t="shared" ref="C159:C162" si="36">"男"</f>
        <v>男</v>
      </c>
      <c r="D159" s="11" t="s">
        <v>183</v>
      </c>
      <c r="E159" s="11" t="s">
        <v>184</v>
      </c>
      <c r="F159" s="11" t="str">
        <f t="shared" si="28"/>
        <v>xerc20250105</v>
      </c>
      <c r="G159" s="12" t="s">
        <v>208</v>
      </c>
      <c r="H159" s="21" t="s">
        <v>50</v>
      </c>
      <c r="I159" s="21" t="s">
        <v>36</v>
      </c>
      <c r="J159" s="16" t="s">
        <v>42</v>
      </c>
      <c r="K159" s="11"/>
      <c r="L159" s="12"/>
    </row>
    <row r="160" s="4" customFormat="1" ht="24" spans="1:12">
      <c r="A160" s="11">
        <v>158</v>
      </c>
      <c r="B160" s="11" t="str">
        <f>"刘苧芳"</f>
        <v>刘苧芳</v>
      </c>
      <c r="C160" s="11" t="str">
        <f t="shared" si="35"/>
        <v>女</v>
      </c>
      <c r="D160" s="11" t="s">
        <v>183</v>
      </c>
      <c r="E160" s="11" t="s">
        <v>184</v>
      </c>
      <c r="F160" s="11" t="str">
        <f t="shared" si="28"/>
        <v>xerc20250105</v>
      </c>
      <c r="G160" s="12" t="s">
        <v>209</v>
      </c>
      <c r="H160" s="21" t="s">
        <v>50</v>
      </c>
      <c r="I160" s="21" t="s">
        <v>69</v>
      </c>
      <c r="J160" s="16" t="s">
        <v>42</v>
      </c>
      <c r="K160" s="11"/>
      <c r="L160" s="12"/>
    </row>
    <row r="161" s="4" customFormat="1" ht="24" spans="1:12">
      <c r="A161" s="11">
        <v>159</v>
      </c>
      <c r="B161" s="11" t="str">
        <f>"杨毅锋"</f>
        <v>杨毅锋</v>
      </c>
      <c r="C161" s="11" t="str">
        <f t="shared" si="36"/>
        <v>男</v>
      </c>
      <c r="D161" s="11" t="s">
        <v>183</v>
      </c>
      <c r="E161" s="11" t="s">
        <v>184</v>
      </c>
      <c r="F161" s="11" t="str">
        <f t="shared" si="28"/>
        <v>xerc20250105</v>
      </c>
      <c r="G161" s="12" t="s">
        <v>210</v>
      </c>
      <c r="H161" s="21" t="s">
        <v>50</v>
      </c>
      <c r="I161" s="21" t="s">
        <v>71</v>
      </c>
      <c r="J161" s="16" t="s">
        <v>42</v>
      </c>
      <c r="K161" s="11"/>
      <c r="L161" s="12"/>
    </row>
    <row r="162" s="4" customFormat="1" ht="24" spans="1:12">
      <c r="A162" s="11">
        <v>160</v>
      </c>
      <c r="B162" s="11" t="str">
        <f>"张建华"</f>
        <v>张建华</v>
      </c>
      <c r="C162" s="11" t="str">
        <f t="shared" si="36"/>
        <v>男</v>
      </c>
      <c r="D162" s="11" t="s">
        <v>183</v>
      </c>
      <c r="E162" s="11" t="s">
        <v>184</v>
      </c>
      <c r="F162" s="11" t="str">
        <f t="shared" si="28"/>
        <v>xerc20250105</v>
      </c>
      <c r="G162" s="12" t="s">
        <v>211</v>
      </c>
      <c r="H162" s="21" t="s">
        <v>50</v>
      </c>
      <c r="I162" s="21" t="s">
        <v>22</v>
      </c>
      <c r="J162" s="16" t="s">
        <v>42</v>
      </c>
      <c r="K162" s="11"/>
      <c r="L162" s="12"/>
    </row>
    <row r="163" s="4" customFormat="1" ht="24" spans="1:12">
      <c r="A163" s="11">
        <v>161</v>
      </c>
      <c r="B163" s="11" t="str">
        <f>"严莉"</f>
        <v>严莉</v>
      </c>
      <c r="C163" s="11" t="str">
        <f t="shared" si="35"/>
        <v>女</v>
      </c>
      <c r="D163" s="11" t="s">
        <v>183</v>
      </c>
      <c r="E163" s="11" t="s">
        <v>184</v>
      </c>
      <c r="F163" s="11" t="str">
        <f t="shared" si="28"/>
        <v>xerc20250105</v>
      </c>
      <c r="G163" s="12" t="s">
        <v>212</v>
      </c>
      <c r="H163" s="21" t="s">
        <v>50</v>
      </c>
      <c r="I163" s="21" t="s">
        <v>73</v>
      </c>
      <c r="J163" s="16" t="s">
        <v>42</v>
      </c>
      <c r="K163" s="11"/>
      <c r="L163" s="12"/>
    </row>
    <row r="164" s="4" customFormat="1" ht="24" spans="1:12">
      <c r="A164" s="11">
        <v>162</v>
      </c>
      <c r="B164" s="11" t="str">
        <f>"谭申宇"</f>
        <v>谭申宇</v>
      </c>
      <c r="C164" s="11" t="str">
        <f t="shared" ref="C164:C171" si="37">"男"</f>
        <v>男</v>
      </c>
      <c r="D164" s="11" t="s">
        <v>213</v>
      </c>
      <c r="E164" s="11" t="s">
        <v>214</v>
      </c>
      <c r="F164" s="11" t="str">
        <f t="shared" ref="F164:F179" si="38">"xerc20250106"</f>
        <v>xerc20250106</v>
      </c>
      <c r="G164" s="12" t="s">
        <v>215</v>
      </c>
      <c r="H164" s="21" t="s">
        <v>59</v>
      </c>
      <c r="I164" s="21" t="s">
        <v>36</v>
      </c>
      <c r="J164" s="16">
        <v>79</v>
      </c>
      <c r="K164" s="17">
        <f t="shared" ref="K164:K169" si="39">RANK(J164,$J$164:$J$179)</f>
        <v>1</v>
      </c>
      <c r="L164" s="10" t="s">
        <v>18</v>
      </c>
    </row>
    <row r="165" s="4" customFormat="1" ht="24" spans="1:12">
      <c r="A165" s="11">
        <v>163</v>
      </c>
      <c r="B165" s="11" t="str">
        <f>"袁铭"</f>
        <v>袁铭</v>
      </c>
      <c r="C165" s="11" t="str">
        <f t="shared" si="37"/>
        <v>男</v>
      </c>
      <c r="D165" s="11" t="s">
        <v>213</v>
      </c>
      <c r="E165" s="11" t="s">
        <v>214</v>
      </c>
      <c r="F165" s="11" t="str">
        <f t="shared" si="38"/>
        <v>xerc20250106</v>
      </c>
      <c r="G165" s="12" t="s">
        <v>216</v>
      </c>
      <c r="H165" s="21" t="s">
        <v>59</v>
      </c>
      <c r="I165" s="21" t="s">
        <v>67</v>
      </c>
      <c r="J165" s="16">
        <v>71</v>
      </c>
      <c r="K165" s="17">
        <f t="shared" si="39"/>
        <v>2</v>
      </c>
      <c r="L165" s="10" t="s">
        <v>18</v>
      </c>
    </row>
    <row r="166" s="4" customFormat="1" ht="24" spans="1:12">
      <c r="A166" s="11">
        <v>164</v>
      </c>
      <c r="B166" s="11" t="str">
        <f>"谭笑"</f>
        <v>谭笑</v>
      </c>
      <c r="C166" s="11" t="str">
        <f t="shared" si="37"/>
        <v>男</v>
      </c>
      <c r="D166" s="11" t="s">
        <v>213</v>
      </c>
      <c r="E166" s="11" t="s">
        <v>214</v>
      </c>
      <c r="F166" s="11" t="str">
        <f t="shared" si="38"/>
        <v>xerc20250106</v>
      </c>
      <c r="G166" s="12" t="s">
        <v>217</v>
      </c>
      <c r="H166" s="21" t="s">
        <v>59</v>
      </c>
      <c r="I166" s="21" t="s">
        <v>24</v>
      </c>
      <c r="J166" s="16">
        <v>70</v>
      </c>
      <c r="K166" s="17">
        <f t="shared" si="39"/>
        <v>3</v>
      </c>
      <c r="L166" s="10" t="s">
        <v>18</v>
      </c>
    </row>
    <row r="167" s="4" customFormat="1" ht="24" spans="1:12">
      <c r="A167" s="11">
        <v>165</v>
      </c>
      <c r="B167" s="11" t="str">
        <f>"谢凯"</f>
        <v>谢凯</v>
      </c>
      <c r="C167" s="11" t="str">
        <f t="shared" si="37"/>
        <v>男</v>
      </c>
      <c r="D167" s="11" t="s">
        <v>213</v>
      </c>
      <c r="E167" s="11" t="s">
        <v>214</v>
      </c>
      <c r="F167" s="11" t="str">
        <f t="shared" si="38"/>
        <v>xerc20250106</v>
      </c>
      <c r="G167" s="12" t="s">
        <v>218</v>
      </c>
      <c r="H167" s="21" t="s">
        <v>59</v>
      </c>
      <c r="I167" s="21" t="s">
        <v>71</v>
      </c>
      <c r="J167" s="16">
        <v>69</v>
      </c>
      <c r="K167" s="11">
        <f t="shared" si="39"/>
        <v>4</v>
      </c>
      <c r="L167" s="12"/>
    </row>
    <row r="168" s="4" customFormat="1" ht="24" spans="1:12">
      <c r="A168" s="11">
        <v>166</v>
      </c>
      <c r="B168" s="11" t="str">
        <f>"李超"</f>
        <v>李超</v>
      </c>
      <c r="C168" s="11" t="str">
        <f t="shared" si="37"/>
        <v>男</v>
      </c>
      <c r="D168" s="11" t="s">
        <v>213</v>
      </c>
      <c r="E168" s="11" t="s">
        <v>214</v>
      </c>
      <c r="F168" s="11" t="str">
        <f t="shared" si="38"/>
        <v>xerc20250106</v>
      </c>
      <c r="G168" s="12" t="s">
        <v>219</v>
      </c>
      <c r="H168" s="21" t="s">
        <v>59</v>
      </c>
      <c r="I168" s="21" t="s">
        <v>28</v>
      </c>
      <c r="J168" s="16">
        <v>61</v>
      </c>
      <c r="K168" s="11">
        <f t="shared" si="39"/>
        <v>5</v>
      </c>
      <c r="L168" s="12"/>
    </row>
    <row r="169" s="4" customFormat="1" ht="24" spans="1:12">
      <c r="A169" s="11">
        <v>167</v>
      </c>
      <c r="B169" s="11" t="str">
        <f>"李豪"</f>
        <v>李豪</v>
      </c>
      <c r="C169" s="11" t="str">
        <f t="shared" si="37"/>
        <v>男</v>
      </c>
      <c r="D169" s="11" t="s">
        <v>213</v>
      </c>
      <c r="E169" s="11" t="s">
        <v>214</v>
      </c>
      <c r="F169" s="11" t="str">
        <f t="shared" si="38"/>
        <v>xerc20250106</v>
      </c>
      <c r="G169" s="12" t="s">
        <v>220</v>
      </c>
      <c r="H169" s="21" t="s">
        <v>59</v>
      </c>
      <c r="I169" s="21" t="s">
        <v>22</v>
      </c>
      <c r="J169" s="16">
        <v>54</v>
      </c>
      <c r="K169" s="11">
        <f t="shared" si="39"/>
        <v>6</v>
      </c>
      <c r="L169" s="12"/>
    </row>
    <row r="170" s="4" customFormat="1" ht="24" spans="1:12">
      <c r="A170" s="11">
        <v>168</v>
      </c>
      <c r="B170" s="11" t="str">
        <f>"梅朝燊"</f>
        <v>梅朝燊</v>
      </c>
      <c r="C170" s="11" t="str">
        <f t="shared" si="37"/>
        <v>男</v>
      </c>
      <c r="D170" s="11" t="s">
        <v>213</v>
      </c>
      <c r="E170" s="11" t="s">
        <v>214</v>
      </c>
      <c r="F170" s="11" t="str">
        <f t="shared" si="38"/>
        <v>xerc20250106</v>
      </c>
      <c r="G170" s="12" t="s">
        <v>221</v>
      </c>
      <c r="H170" s="21" t="s">
        <v>59</v>
      </c>
      <c r="I170" s="21" t="s">
        <v>61</v>
      </c>
      <c r="J170" s="16" t="s">
        <v>42</v>
      </c>
      <c r="K170" s="11"/>
      <c r="L170" s="12"/>
    </row>
    <row r="171" s="4" customFormat="1" ht="24" spans="1:12">
      <c r="A171" s="11">
        <v>169</v>
      </c>
      <c r="B171" s="11" t="str">
        <f>"吴刚杰"</f>
        <v>吴刚杰</v>
      </c>
      <c r="C171" s="11" t="str">
        <f t="shared" si="37"/>
        <v>男</v>
      </c>
      <c r="D171" s="11" t="s">
        <v>213</v>
      </c>
      <c r="E171" s="11" t="s">
        <v>214</v>
      </c>
      <c r="F171" s="11" t="str">
        <f t="shared" si="38"/>
        <v>xerc20250106</v>
      </c>
      <c r="G171" s="12" t="s">
        <v>222</v>
      </c>
      <c r="H171" s="21" t="s">
        <v>59</v>
      </c>
      <c r="I171" s="21" t="s">
        <v>40</v>
      </c>
      <c r="J171" s="16" t="s">
        <v>42</v>
      </c>
      <c r="K171" s="11"/>
      <c r="L171" s="12"/>
    </row>
    <row r="172" s="4" customFormat="1" ht="24" spans="1:12">
      <c r="A172" s="11">
        <v>170</v>
      </c>
      <c r="B172" s="11" t="str">
        <f>"侯铭霞"</f>
        <v>侯铭霞</v>
      </c>
      <c r="C172" s="11" t="str">
        <f t="shared" ref="C172:C174" si="40">"女"</f>
        <v>女</v>
      </c>
      <c r="D172" s="11" t="s">
        <v>213</v>
      </c>
      <c r="E172" s="11" t="s">
        <v>214</v>
      </c>
      <c r="F172" s="11" t="str">
        <f t="shared" si="38"/>
        <v>xerc20250106</v>
      </c>
      <c r="G172" s="12" t="s">
        <v>223</v>
      </c>
      <c r="H172" s="21" t="s">
        <v>59</v>
      </c>
      <c r="I172" s="21" t="s">
        <v>63</v>
      </c>
      <c r="J172" s="16" t="s">
        <v>42</v>
      </c>
      <c r="K172" s="11"/>
      <c r="L172" s="12"/>
    </row>
    <row r="173" s="4" customFormat="1" ht="24" spans="1:12">
      <c r="A173" s="11">
        <v>171</v>
      </c>
      <c r="B173" s="11" t="str">
        <f>"刘诗庆"</f>
        <v>刘诗庆</v>
      </c>
      <c r="C173" s="11" t="str">
        <f t="shared" si="40"/>
        <v>女</v>
      </c>
      <c r="D173" s="11" t="s">
        <v>213</v>
      </c>
      <c r="E173" s="11" t="s">
        <v>214</v>
      </c>
      <c r="F173" s="11" t="str">
        <f t="shared" si="38"/>
        <v>xerc20250106</v>
      </c>
      <c r="G173" s="12" t="s">
        <v>224</v>
      </c>
      <c r="H173" s="21" t="s">
        <v>59</v>
      </c>
      <c r="I173" s="21" t="s">
        <v>32</v>
      </c>
      <c r="J173" s="16" t="s">
        <v>42</v>
      </c>
      <c r="K173" s="11"/>
      <c r="L173" s="12"/>
    </row>
    <row r="174" s="4" customFormat="1" ht="24" spans="1:12">
      <c r="A174" s="11">
        <v>172</v>
      </c>
      <c r="B174" s="11" t="str">
        <f>"刘雨"</f>
        <v>刘雨</v>
      </c>
      <c r="C174" s="11" t="str">
        <f t="shared" si="40"/>
        <v>女</v>
      </c>
      <c r="D174" s="11" t="s">
        <v>213</v>
      </c>
      <c r="E174" s="11" t="s">
        <v>214</v>
      </c>
      <c r="F174" s="11" t="str">
        <f t="shared" si="38"/>
        <v>xerc20250106</v>
      </c>
      <c r="G174" s="12" t="s">
        <v>225</v>
      </c>
      <c r="H174" s="21" t="s">
        <v>59</v>
      </c>
      <c r="I174" s="21" t="s">
        <v>34</v>
      </c>
      <c r="J174" s="16" t="s">
        <v>42</v>
      </c>
      <c r="K174" s="11"/>
      <c r="L174" s="12"/>
    </row>
    <row r="175" s="4" customFormat="1" ht="24" spans="1:12">
      <c r="A175" s="11">
        <v>173</v>
      </c>
      <c r="B175" s="11" t="str">
        <f>"唐忠耿"</f>
        <v>唐忠耿</v>
      </c>
      <c r="C175" s="11" t="str">
        <f t="shared" ref="C175:C189" si="41">"男"</f>
        <v>男</v>
      </c>
      <c r="D175" s="11" t="s">
        <v>213</v>
      </c>
      <c r="E175" s="11" t="s">
        <v>214</v>
      </c>
      <c r="F175" s="11" t="str">
        <f t="shared" si="38"/>
        <v>xerc20250106</v>
      </c>
      <c r="G175" s="12" t="s">
        <v>226</v>
      </c>
      <c r="H175" s="21" t="s">
        <v>59</v>
      </c>
      <c r="I175" s="21" t="s">
        <v>65</v>
      </c>
      <c r="J175" s="16" t="s">
        <v>42</v>
      </c>
      <c r="K175" s="11"/>
      <c r="L175" s="12"/>
    </row>
    <row r="176" s="4" customFormat="1" ht="24" spans="1:12">
      <c r="A176" s="11">
        <v>174</v>
      </c>
      <c r="B176" s="11" t="str">
        <f>"李智海"</f>
        <v>李智海</v>
      </c>
      <c r="C176" s="11" t="str">
        <f t="shared" si="41"/>
        <v>男</v>
      </c>
      <c r="D176" s="11" t="s">
        <v>213</v>
      </c>
      <c r="E176" s="11" t="s">
        <v>214</v>
      </c>
      <c r="F176" s="11" t="str">
        <f t="shared" si="38"/>
        <v>xerc20250106</v>
      </c>
      <c r="G176" s="12" t="s">
        <v>227</v>
      </c>
      <c r="H176" s="21" t="s">
        <v>59</v>
      </c>
      <c r="I176" s="21" t="s">
        <v>38</v>
      </c>
      <c r="J176" s="16" t="s">
        <v>42</v>
      </c>
      <c r="K176" s="11"/>
      <c r="L176" s="12"/>
    </row>
    <row r="177" s="4" customFormat="1" ht="24" spans="1:12">
      <c r="A177" s="11">
        <v>175</v>
      </c>
      <c r="B177" s="11" t="str">
        <f>"甘伟琪"</f>
        <v>甘伟琪</v>
      </c>
      <c r="C177" s="11" t="str">
        <f t="shared" si="41"/>
        <v>男</v>
      </c>
      <c r="D177" s="11" t="s">
        <v>213</v>
      </c>
      <c r="E177" s="11" t="s">
        <v>214</v>
      </c>
      <c r="F177" s="11" t="str">
        <f t="shared" si="38"/>
        <v>xerc20250106</v>
      </c>
      <c r="G177" s="12" t="s">
        <v>228</v>
      </c>
      <c r="H177" s="21" t="s">
        <v>59</v>
      </c>
      <c r="I177" s="21" t="s">
        <v>20</v>
      </c>
      <c r="J177" s="16" t="s">
        <v>42</v>
      </c>
      <c r="K177" s="11"/>
      <c r="L177" s="12"/>
    </row>
    <row r="178" s="4" customFormat="1" ht="24" spans="1:12">
      <c r="A178" s="11">
        <v>176</v>
      </c>
      <c r="B178" s="11" t="str">
        <f>"邓高锐"</f>
        <v>邓高锐</v>
      </c>
      <c r="C178" s="11" t="str">
        <f t="shared" si="41"/>
        <v>男</v>
      </c>
      <c r="D178" s="11" t="s">
        <v>213</v>
      </c>
      <c r="E178" s="11" t="s">
        <v>214</v>
      </c>
      <c r="F178" s="11" t="str">
        <f t="shared" si="38"/>
        <v>xerc20250106</v>
      </c>
      <c r="G178" s="12" t="s">
        <v>229</v>
      </c>
      <c r="H178" s="21" t="s">
        <v>59</v>
      </c>
      <c r="I178" s="21" t="s">
        <v>69</v>
      </c>
      <c r="J178" s="16" t="s">
        <v>42</v>
      </c>
      <c r="K178" s="11"/>
      <c r="L178" s="12"/>
    </row>
    <row r="179" s="4" customFormat="1" ht="24" spans="1:12">
      <c r="A179" s="11">
        <v>177</v>
      </c>
      <c r="B179" s="11" t="str">
        <f>"贺玉洲"</f>
        <v>贺玉洲</v>
      </c>
      <c r="C179" s="11" t="str">
        <f t="shared" si="41"/>
        <v>男</v>
      </c>
      <c r="D179" s="11" t="s">
        <v>213</v>
      </c>
      <c r="E179" s="11" t="s">
        <v>214</v>
      </c>
      <c r="F179" s="11" t="str">
        <f t="shared" si="38"/>
        <v>xerc20250106</v>
      </c>
      <c r="G179" s="12" t="s">
        <v>230</v>
      </c>
      <c r="H179" s="21" t="s">
        <v>59</v>
      </c>
      <c r="I179" s="21" t="s">
        <v>73</v>
      </c>
      <c r="J179" s="16" t="s">
        <v>42</v>
      </c>
      <c r="K179" s="11"/>
      <c r="L179" s="12"/>
    </row>
    <row r="180" s="4" customFormat="1" ht="24" spans="1:12">
      <c r="A180" s="11">
        <v>178</v>
      </c>
      <c r="B180" s="11" t="str">
        <f>"李杰"</f>
        <v>李杰</v>
      </c>
      <c r="C180" s="11" t="str">
        <f t="shared" si="41"/>
        <v>男</v>
      </c>
      <c r="D180" s="11" t="s">
        <v>231</v>
      </c>
      <c r="E180" s="11" t="s">
        <v>232</v>
      </c>
      <c r="F180" s="11" t="str">
        <f t="shared" ref="F180:F193" si="42">"xerc20250107"</f>
        <v>xerc20250107</v>
      </c>
      <c r="G180" s="12" t="s">
        <v>233</v>
      </c>
      <c r="H180" s="21" t="s">
        <v>61</v>
      </c>
      <c r="I180" s="21" t="s">
        <v>52</v>
      </c>
      <c r="J180" s="16">
        <v>76</v>
      </c>
      <c r="K180" s="17">
        <f t="shared" ref="K180:K185" si="43">RANK(J180,$J$180:$J$193)</f>
        <v>1</v>
      </c>
      <c r="L180" s="10" t="s">
        <v>18</v>
      </c>
    </row>
    <row r="181" s="4" customFormat="1" ht="24" spans="1:12">
      <c r="A181" s="11">
        <v>179</v>
      </c>
      <c r="B181" s="11" t="str">
        <f>"黄俊杰"</f>
        <v>黄俊杰</v>
      </c>
      <c r="C181" s="11" t="str">
        <f t="shared" si="41"/>
        <v>男</v>
      </c>
      <c r="D181" s="11" t="s">
        <v>231</v>
      </c>
      <c r="E181" s="11" t="s">
        <v>232</v>
      </c>
      <c r="F181" s="11" t="str">
        <f t="shared" si="42"/>
        <v>xerc20250107</v>
      </c>
      <c r="G181" s="12" t="s">
        <v>234</v>
      </c>
      <c r="H181" s="21" t="s">
        <v>61</v>
      </c>
      <c r="I181" s="21" t="s">
        <v>44</v>
      </c>
      <c r="J181" s="16">
        <v>71</v>
      </c>
      <c r="K181" s="17">
        <f t="shared" si="43"/>
        <v>2</v>
      </c>
      <c r="L181" s="10" t="s">
        <v>18</v>
      </c>
    </row>
    <row r="182" s="4" customFormat="1" ht="24" spans="1:12">
      <c r="A182" s="11">
        <v>180</v>
      </c>
      <c r="B182" s="11" t="str">
        <f>"冯坤"</f>
        <v>冯坤</v>
      </c>
      <c r="C182" s="11" t="str">
        <f t="shared" si="41"/>
        <v>男</v>
      </c>
      <c r="D182" s="11" t="s">
        <v>231</v>
      </c>
      <c r="E182" s="11" t="s">
        <v>232</v>
      </c>
      <c r="F182" s="11" t="str">
        <f t="shared" si="42"/>
        <v>xerc20250107</v>
      </c>
      <c r="G182" s="12" t="s">
        <v>235</v>
      </c>
      <c r="H182" s="21" t="s">
        <v>61</v>
      </c>
      <c r="I182" s="21" t="s">
        <v>26</v>
      </c>
      <c r="J182" s="16">
        <v>70</v>
      </c>
      <c r="K182" s="17">
        <f t="shared" si="43"/>
        <v>3</v>
      </c>
      <c r="L182" s="10" t="s">
        <v>18</v>
      </c>
    </row>
    <row r="183" s="4" customFormat="1" ht="24" spans="1:12">
      <c r="A183" s="11">
        <v>181</v>
      </c>
      <c r="B183" s="11" t="str">
        <f>"唐杰"</f>
        <v>唐杰</v>
      </c>
      <c r="C183" s="11" t="str">
        <f t="shared" si="41"/>
        <v>男</v>
      </c>
      <c r="D183" s="11" t="s">
        <v>231</v>
      </c>
      <c r="E183" s="11" t="s">
        <v>232</v>
      </c>
      <c r="F183" s="11" t="str">
        <f t="shared" si="42"/>
        <v>xerc20250107</v>
      </c>
      <c r="G183" s="12" t="s">
        <v>236</v>
      </c>
      <c r="H183" s="21" t="s">
        <v>61</v>
      </c>
      <c r="I183" s="21" t="s">
        <v>30</v>
      </c>
      <c r="J183" s="16">
        <v>69</v>
      </c>
      <c r="K183" s="11">
        <f t="shared" si="43"/>
        <v>4</v>
      </c>
      <c r="L183" s="12"/>
    </row>
    <row r="184" s="4" customFormat="1" ht="24" spans="1:12">
      <c r="A184" s="11">
        <v>182</v>
      </c>
      <c r="B184" s="11" t="str">
        <f>"漆琳靖"</f>
        <v>漆琳靖</v>
      </c>
      <c r="C184" s="11" t="str">
        <f t="shared" si="41"/>
        <v>男</v>
      </c>
      <c r="D184" s="11" t="s">
        <v>231</v>
      </c>
      <c r="E184" s="11" t="s">
        <v>232</v>
      </c>
      <c r="F184" s="11" t="str">
        <f t="shared" si="42"/>
        <v>xerc20250107</v>
      </c>
      <c r="G184" s="12" t="s">
        <v>237</v>
      </c>
      <c r="H184" s="21" t="s">
        <v>61</v>
      </c>
      <c r="I184" s="21" t="s">
        <v>24</v>
      </c>
      <c r="J184" s="16">
        <v>67</v>
      </c>
      <c r="K184" s="11">
        <f t="shared" si="43"/>
        <v>5</v>
      </c>
      <c r="L184" s="12"/>
    </row>
    <row r="185" s="4" customFormat="1" ht="24" spans="1:12">
      <c r="A185" s="11">
        <v>183</v>
      </c>
      <c r="B185" s="11" t="str">
        <f>"胡洲"</f>
        <v>胡洲</v>
      </c>
      <c r="C185" s="11" t="str">
        <f t="shared" si="41"/>
        <v>男</v>
      </c>
      <c r="D185" s="11" t="s">
        <v>231</v>
      </c>
      <c r="E185" s="11" t="s">
        <v>232</v>
      </c>
      <c r="F185" s="11" t="str">
        <f t="shared" si="42"/>
        <v>xerc20250107</v>
      </c>
      <c r="G185" s="12" t="s">
        <v>238</v>
      </c>
      <c r="H185" s="21" t="s">
        <v>61</v>
      </c>
      <c r="I185" s="21" t="s">
        <v>59</v>
      </c>
      <c r="J185" s="16">
        <v>61</v>
      </c>
      <c r="K185" s="11">
        <f t="shared" si="43"/>
        <v>6</v>
      </c>
      <c r="L185" s="12"/>
    </row>
    <row r="186" s="4" customFormat="1" ht="24" spans="1:12">
      <c r="A186" s="11">
        <v>184</v>
      </c>
      <c r="B186" s="11" t="str">
        <f>"陈珠宝"</f>
        <v>陈珠宝</v>
      </c>
      <c r="C186" s="11" t="str">
        <f t="shared" si="41"/>
        <v>男</v>
      </c>
      <c r="D186" s="11" t="s">
        <v>231</v>
      </c>
      <c r="E186" s="11" t="s">
        <v>232</v>
      </c>
      <c r="F186" s="11" t="str">
        <f t="shared" si="42"/>
        <v>xerc20250107</v>
      </c>
      <c r="G186" s="12" t="s">
        <v>239</v>
      </c>
      <c r="H186" s="21" t="s">
        <v>61</v>
      </c>
      <c r="I186" s="21" t="s">
        <v>17</v>
      </c>
      <c r="J186" s="16" t="s">
        <v>42</v>
      </c>
      <c r="K186" s="11"/>
      <c r="L186" s="12"/>
    </row>
    <row r="187" s="4" customFormat="1" ht="24" spans="1:12">
      <c r="A187" s="11">
        <v>185</v>
      </c>
      <c r="B187" s="11" t="str">
        <f>"张健锋"</f>
        <v>张健锋</v>
      </c>
      <c r="C187" s="11" t="str">
        <f t="shared" si="41"/>
        <v>男</v>
      </c>
      <c r="D187" s="11" t="s">
        <v>231</v>
      </c>
      <c r="E187" s="11" t="s">
        <v>232</v>
      </c>
      <c r="F187" s="11" t="str">
        <f t="shared" si="42"/>
        <v>xerc20250107</v>
      </c>
      <c r="G187" s="12" t="s">
        <v>240</v>
      </c>
      <c r="H187" s="21" t="s">
        <v>61</v>
      </c>
      <c r="I187" s="21" t="s">
        <v>46</v>
      </c>
      <c r="J187" s="16" t="s">
        <v>42</v>
      </c>
      <c r="K187" s="11"/>
      <c r="L187" s="12"/>
    </row>
    <row r="188" s="4" customFormat="1" ht="24" spans="1:12">
      <c r="A188" s="11">
        <v>186</v>
      </c>
      <c r="B188" s="11" t="str">
        <f>"覃睿"</f>
        <v>覃睿</v>
      </c>
      <c r="C188" s="11" t="str">
        <f t="shared" si="41"/>
        <v>男</v>
      </c>
      <c r="D188" s="11" t="s">
        <v>231</v>
      </c>
      <c r="E188" s="11" t="s">
        <v>232</v>
      </c>
      <c r="F188" s="11" t="str">
        <f t="shared" si="42"/>
        <v>xerc20250107</v>
      </c>
      <c r="G188" s="12" t="s">
        <v>241</v>
      </c>
      <c r="H188" s="21" t="s">
        <v>61</v>
      </c>
      <c r="I188" s="21" t="s">
        <v>48</v>
      </c>
      <c r="J188" s="16" t="s">
        <v>42</v>
      </c>
      <c r="K188" s="11"/>
      <c r="L188" s="12"/>
    </row>
    <row r="189" s="4" customFormat="1" ht="24" spans="1:12">
      <c r="A189" s="11">
        <v>187</v>
      </c>
      <c r="B189" s="11" t="str">
        <f>"冉百川"</f>
        <v>冉百川</v>
      </c>
      <c r="C189" s="11" t="str">
        <f t="shared" si="41"/>
        <v>男</v>
      </c>
      <c r="D189" s="11" t="s">
        <v>231</v>
      </c>
      <c r="E189" s="11" t="s">
        <v>232</v>
      </c>
      <c r="F189" s="11" t="str">
        <f t="shared" si="42"/>
        <v>xerc20250107</v>
      </c>
      <c r="G189" s="12" t="s">
        <v>242</v>
      </c>
      <c r="H189" s="21" t="s">
        <v>61</v>
      </c>
      <c r="I189" s="21" t="s">
        <v>50</v>
      </c>
      <c r="J189" s="16" t="s">
        <v>42</v>
      </c>
      <c r="K189" s="11"/>
      <c r="L189" s="12"/>
    </row>
    <row r="190" s="4" customFormat="1" ht="24" spans="1:12">
      <c r="A190" s="11">
        <v>188</v>
      </c>
      <c r="B190" s="11" t="str">
        <f>"何玉凤"</f>
        <v>何玉凤</v>
      </c>
      <c r="C190" s="11" t="str">
        <f>"女"</f>
        <v>女</v>
      </c>
      <c r="D190" s="11" t="s">
        <v>231</v>
      </c>
      <c r="E190" s="11" t="s">
        <v>232</v>
      </c>
      <c r="F190" s="11" t="str">
        <f t="shared" si="42"/>
        <v>xerc20250107</v>
      </c>
      <c r="G190" s="12" t="s">
        <v>243</v>
      </c>
      <c r="H190" s="21" t="s">
        <v>61</v>
      </c>
      <c r="I190" s="21" t="s">
        <v>54</v>
      </c>
      <c r="J190" s="16" t="s">
        <v>42</v>
      </c>
      <c r="K190" s="11"/>
      <c r="L190" s="12"/>
    </row>
    <row r="191" s="4" customFormat="1" ht="24" spans="1:12">
      <c r="A191" s="11">
        <v>189</v>
      </c>
      <c r="B191" s="11" t="str">
        <f>"宋威"</f>
        <v>宋威</v>
      </c>
      <c r="C191" s="11" t="str">
        <f t="shared" ref="C191:C196" si="44">"男"</f>
        <v>男</v>
      </c>
      <c r="D191" s="11" t="s">
        <v>231</v>
      </c>
      <c r="E191" s="11" t="s">
        <v>232</v>
      </c>
      <c r="F191" s="11" t="str">
        <f t="shared" si="42"/>
        <v>xerc20250107</v>
      </c>
      <c r="G191" s="12" t="s">
        <v>244</v>
      </c>
      <c r="H191" s="21" t="s">
        <v>61</v>
      </c>
      <c r="I191" s="21" t="s">
        <v>56</v>
      </c>
      <c r="J191" s="16" t="s">
        <v>42</v>
      </c>
      <c r="K191" s="11"/>
      <c r="L191" s="12"/>
    </row>
    <row r="192" s="4" customFormat="1" ht="24" spans="1:12">
      <c r="A192" s="11">
        <v>190</v>
      </c>
      <c r="B192" s="11" t="str">
        <f>"卢晓晨"</f>
        <v>卢晓晨</v>
      </c>
      <c r="C192" s="11" t="str">
        <f t="shared" si="44"/>
        <v>男</v>
      </c>
      <c r="D192" s="11" t="s">
        <v>231</v>
      </c>
      <c r="E192" s="11" t="s">
        <v>232</v>
      </c>
      <c r="F192" s="11" t="str">
        <f t="shared" si="42"/>
        <v>xerc20250107</v>
      </c>
      <c r="G192" s="12" t="s">
        <v>245</v>
      </c>
      <c r="H192" s="21" t="s">
        <v>61</v>
      </c>
      <c r="I192" s="21" t="s">
        <v>16</v>
      </c>
      <c r="J192" s="16" t="s">
        <v>42</v>
      </c>
      <c r="K192" s="11"/>
      <c r="L192" s="12"/>
    </row>
    <row r="193" s="4" customFormat="1" ht="24" spans="1:12">
      <c r="A193" s="11">
        <v>191</v>
      </c>
      <c r="B193" s="11" t="str">
        <f>"罗宣兵"</f>
        <v>罗宣兵</v>
      </c>
      <c r="C193" s="11" t="str">
        <f t="shared" si="44"/>
        <v>男</v>
      </c>
      <c r="D193" s="11" t="s">
        <v>231</v>
      </c>
      <c r="E193" s="11" t="s">
        <v>232</v>
      </c>
      <c r="F193" s="11" t="str">
        <f t="shared" si="42"/>
        <v>xerc20250107</v>
      </c>
      <c r="G193" s="12" t="s">
        <v>246</v>
      </c>
      <c r="H193" s="21" t="s">
        <v>61</v>
      </c>
      <c r="I193" s="21" t="s">
        <v>61</v>
      </c>
      <c r="J193" s="16" t="s">
        <v>42</v>
      </c>
      <c r="K193" s="11"/>
      <c r="L193" s="12"/>
    </row>
    <row r="194" s="4" customFormat="1" ht="24" spans="1:12">
      <c r="A194" s="11">
        <v>192</v>
      </c>
      <c r="B194" s="11" t="str">
        <f>"赵奕迅"</f>
        <v>赵奕迅</v>
      </c>
      <c r="C194" s="11" t="str">
        <f t="shared" si="44"/>
        <v>男</v>
      </c>
      <c r="D194" s="11" t="s">
        <v>247</v>
      </c>
      <c r="E194" s="11" t="s">
        <v>248</v>
      </c>
      <c r="F194" s="11" t="str">
        <f>"xerc20250108"</f>
        <v>xerc20250108</v>
      </c>
      <c r="G194" s="12" t="s">
        <v>249</v>
      </c>
      <c r="H194" s="21" t="s">
        <v>61</v>
      </c>
      <c r="I194" s="21" t="s">
        <v>40</v>
      </c>
      <c r="J194" s="16" t="s">
        <v>42</v>
      </c>
      <c r="K194" s="11"/>
      <c r="L194" s="12"/>
    </row>
    <row r="195" s="4" customFormat="1" ht="24" spans="1:12">
      <c r="A195" s="11">
        <v>193</v>
      </c>
      <c r="B195" s="11" t="str">
        <f>"董槟"</f>
        <v>董槟</v>
      </c>
      <c r="C195" s="11" t="str">
        <f t="shared" si="44"/>
        <v>男</v>
      </c>
      <c r="D195" s="11" t="s">
        <v>250</v>
      </c>
      <c r="E195" s="11" t="s">
        <v>77</v>
      </c>
      <c r="F195" s="11" t="str">
        <f t="shared" ref="F195:F212" si="45">"xerc20250109"</f>
        <v>xerc20250109</v>
      </c>
      <c r="G195" s="12" t="s">
        <v>251</v>
      </c>
      <c r="H195" s="21" t="s">
        <v>59</v>
      </c>
      <c r="I195" s="21" t="s">
        <v>50</v>
      </c>
      <c r="J195" s="16">
        <v>63</v>
      </c>
      <c r="K195" s="17">
        <f t="shared" ref="K195:K202" si="46">RANK(J195,$J$195:$J$212)</f>
        <v>1</v>
      </c>
      <c r="L195" s="10" t="s">
        <v>18</v>
      </c>
    </row>
    <row r="196" s="4" customFormat="1" ht="24" spans="1:12">
      <c r="A196" s="11">
        <v>194</v>
      </c>
      <c r="B196" s="11" t="str">
        <f>"叶来"</f>
        <v>叶来</v>
      </c>
      <c r="C196" s="11" t="str">
        <f t="shared" si="44"/>
        <v>男</v>
      </c>
      <c r="D196" s="11" t="s">
        <v>250</v>
      </c>
      <c r="E196" s="11" t="s">
        <v>77</v>
      </c>
      <c r="F196" s="11" t="str">
        <f t="shared" si="45"/>
        <v>xerc20250109</v>
      </c>
      <c r="G196" s="12" t="s">
        <v>252</v>
      </c>
      <c r="H196" s="21" t="s">
        <v>59</v>
      </c>
      <c r="I196" s="21" t="s">
        <v>56</v>
      </c>
      <c r="J196" s="16">
        <v>62</v>
      </c>
      <c r="K196" s="17">
        <f t="shared" si="46"/>
        <v>2</v>
      </c>
      <c r="L196" s="10" t="s">
        <v>18</v>
      </c>
    </row>
    <row r="197" s="4" customFormat="1" ht="24" spans="1:12">
      <c r="A197" s="11">
        <v>195</v>
      </c>
      <c r="B197" s="11" t="str">
        <f>"黄钰琼"</f>
        <v>黄钰琼</v>
      </c>
      <c r="C197" s="11" t="str">
        <f t="shared" ref="C197:C200" si="47">"女"</f>
        <v>女</v>
      </c>
      <c r="D197" s="11" t="s">
        <v>250</v>
      </c>
      <c r="E197" s="11" t="s">
        <v>77</v>
      </c>
      <c r="F197" s="11" t="str">
        <f t="shared" si="45"/>
        <v>xerc20250109</v>
      </c>
      <c r="G197" s="12" t="s">
        <v>253</v>
      </c>
      <c r="H197" s="21" t="s">
        <v>59</v>
      </c>
      <c r="I197" s="21" t="s">
        <v>52</v>
      </c>
      <c r="J197" s="16">
        <v>60</v>
      </c>
      <c r="K197" s="17">
        <f t="shared" si="46"/>
        <v>3</v>
      </c>
      <c r="L197" s="10" t="s">
        <v>18</v>
      </c>
    </row>
    <row r="198" s="4" customFormat="1" ht="24" spans="1:12">
      <c r="A198" s="11">
        <v>196</v>
      </c>
      <c r="B198" s="11" t="str">
        <f>"龙智"</f>
        <v>龙智</v>
      </c>
      <c r="C198" s="11" t="str">
        <f t="shared" ref="C198:C210" si="48">"男"</f>
        <v>男</v>
      </c>
      <c r="D198" s="11" t="s">
        <v>250</v>
      </c>
      <c r="E198" s="11" t="s">
        <v>77</v>
      </c>
      <c r="F198" s="11" t="str">
        <f t="shared" si="45"/>
        <v>xerc20250109</v>
      </c>
      <c r="G198" s="12" t="s">
        <v>254</v>
      </c>
      <c r="H198" s="21" t="s">
        <v>26</v>
      </c>
      <c r="I198" s="21" t="s">
        <v>38</v>
      </c>
      <c r="J198" s="16">
        <v>58</v>
      </c>
      <c r="K198" s="11">
        <f t="shared" si="46"/>
        <v>4</v>
      </c>
      <c r="L198" s="12"/>
    </row>
    <row r="199" s="4" customFormat="1" ht="24" spans="1:12">
      <c r="A199" s="11">
        <v>197</v>
      </c>
      <c r="B199" s="11" t="str">
        <f>"刘婵"</f>
        <v>刘婵</v>
      </c>
      <c r="C199" s="11" t="str">
        <f t="shared" si="47"/>
        <v>女</v>
      </c>
      <c r="D199" s="11" t="s">
        <v>250</v>
      </c>
      <c r="E199" s="11" t="s">
        <v>77</v>
      </c>
      <c r="F199" s="11" t="str">
        <f t="shared" si="45"/>
        <v>xerc20250109</v>
      </c>
      <c r="G199" s="12" t="s">
        <v>255</v>
      </c>
      <c r="H199" s="21" t="s">
        <v>59</v>
      </c>
      <c r="I199" s="21" t="s">
        <v>26</v>
      </c>
      <c r="J199" s="16">
        <v>54</v>
      </c>
      <c r="K199" s="11">
        <f t="shared" si="46"/>
        <v>5</v>
      </c>
      <c r="L199" s="12"/>
    </row>
    <row r="200" s="4" customFormat="1" ht="24" spans="1:12">
      <c r="A200" s="11">
        <v>198</v>
      </c>
      <c r="B200" s="11" t="str">
        <f>"卢丹"</f>
        <v>卢丹</v>
      </c>
      <c r="C200" s="11" t="str">
        <f t="shared" si="47"/>
        <v>女</v>
      </c>
      <c r="D200" s="11" t="s">
        <v>250</v>
      </c>
      <c r="E200" s="11" t="s">
        <v>77</v>
      </c>
      <c r="F200" s="11" t="str">
        <f t="shared" si="45"/>
        <v>xerc20250109</v>
      </c>
      <c r="G200" s="12" t="s">
        <v>256</v>
      </c>
      <c r="H200" s="21" t="s">
        <v>59</v>
      </c>
      <c r="I200" s="21" t="s">
        <v>17</v>
      </c>
      <c r="J200" s="16">
        <v>49</v>
      </c>
      <c r="K200" s="11">
        <f t="shared" si="46"/>
        <v>6</v>
      </c>
      <c r="L200" s="12"/>
    </row>
    <row r="201" s="4" customFormat="1" ht="24" spans="1:12">
      <c r="A201" s="11">
        <v>199</v>
      </c>
      <c r="B201" s="11" t="str">
        <f>"肖永祺"</f>
        <v>肖永祺</v>
      </c>
      <c r="C201" s="11" t="str">
        <f t="shared" si="48"/>
        <v>男</v>
      </c>
      <c r="D201" s="11" t="s">
        <v>250</v>
      </c>
      <c r="E201" s="11" t="s">
        <v>77</v>
      </c>
      <c r="F201" s="11" t="str">
        <f t="shared" si="45"/>
        <v>xerc20250109</v>
      </c>
      <c r="G201" s="12" t="s">
        <v>257</v>
      </c>
      <c r="H201" s="21" t="s">
        <v>59</v>
      </c>
      <c r="I201" s="21" t="s">
        <v>54</v>
      </c>
      <c r="J201" s="16">
        <v>48</v>
      </c>
      <c r="K201" s="11">
        <f t="shared" si="46"/>
        <v>7</v>
      </c>
      <c r="L201" s="12"/>
    </row>
    <row r="202" s="4" customFormat="1" ht="24" spans="1:12">
      <c r="A202" s="11">
        <v>200</v>
      </c>
      <c r="B202" s="11" t="str">
        <f>"胡曼"</f>
        <v>胡曼</v>
      </c>
      <c r="C202" s="11" t="str">
        <f>"女"</f>
        <v>女</v>
      </c>
      <c r="D202" s="11" t="s">
        <v>250</v>
      </c>
      <c r="E202" s="11" t="s">
        <v>77</v>
      </c>
      <c r="F202" s="11" t="str">
        <f t="shared" si="45"/>
        <v>xerc20250109</v>
      </c>
      <c r="G202" s="12" t="s">
        <v>258</v>
      </c>
      <c r="H202" s="21" t="s">
        <v>26</v>
      </c>
      <c r="I202" s="21" t="s">
        <v>73</v>
      </c>
      <c r="J202" s="16">
        <v>47</v>
      </c>
      <c r="K202" s="11">
        <f t="shared" si="46"/>
        <v>8</v>
      </c>
      <c r="L202" s="12"/>
    </row>
    <row r="203" s="4" customFormat="1" ht="24" spans="1:12">
      <c r="A203" s="11">
        <v>201</v>
      </c>
      <c r="B203" s="11" t="str">
        <f>"朱玉明"</f>
        <v>朱玉明</v>
      </c>
      <c r="C203" s="11" t="str">
        <f t="shared" si="48"/>
        <v>男</v>
      </c>
      <c r="D203" s="11" t="s">
        <v>250</v>
      </c>
      <c r="E203" s="11" t="s">
        <v>77</v>
      </c>
      <c r="F203" s="11" t="str">
        <f t="shared" si="45"/>
        <v>xerc20250109</v>
      </c>
      <c r="G203" s="12" t="s">
        <v>259</v>
      </c>
      <c r="H203" s="21" t="s">
        <v>26</v>
      </c>
      <c r="I203" s="21" t="s">
        <v>20</v>
      </c>
      <c r="J203" s="16" t="s">
        <v>42</v>
      </c>
      <c r="K203" s="11"/>
      <c r="L203" s="12"/>
    </row>
    <row r="204" s="4" customFormat="1" ht="24" spans="1:12">
      <c r="A204" s="11">
        <v>202</v>
      </c>
      <c r="B204" s="11" t="str">
        <f>"李志坚"</f>
        <v>李志坚</v>
      </c>
      <c r="C204" s="11" t="str">
        <f t="shared" si="48"/>
        <v>男</v>
      </c>
      <c r="D204" s="11" t="s">
        <v>250</v>
      </c>
      <c r="E204" s="11" t="s">
        <v>77</v>
      </c>
      <c r="F204" s="11" t="str">
        <f t="shared" si="45"/>
        <v>xerc20250109</v>
      </c>
      <c r="G204" s="12" t="s">
        <v>260</v>
      </c>
      <c r="H204" s="21" t="s">
        <v>26</v>
      </c>
      <c r="I204" s="21" t="s">
        <v>69</v>
      </c>
      <c r="J204" s="16" t="s">
        <v>42</v>
      </c>
      <c r="K204" s="11"/>
      <c r="L204" s="12"/>
    </row>
    <row r="205" s="4" customFormat="1" ht="24" spans="1:12">
      <c r="A205" s="11">
        <v>203</v>
      </c>
      <c r="B205" s="11" t="str">
        <f>"罗靖"</f>
        <v>罗靖</v>
      </c>
      <c r="C205" s="11" t="str">
        <f t="shared" si="48"/>
        <v>男</v>
      </c>
      <c r="D205" s="11" t="s">
        <v>250</v>
      </c>
      <c r="E205" s="11" t="s">
        <v>77</v>
      </c>
      <c r="F205" s="11" t="str">
        <f t="shared" si="45"/>
        <v>xerc20250109</v>
      </c>
      <c r="G205" s="12" t="s">
        <v>261</v>
      </c>
      <c r="H205" s="21" t="s">
        <v>26</v>
      </c>
      <c r="I205" s="21" t="s">
        <v>71</v>
      </c>
      <c r="J205" s="16" t="s">
        <v>42</v>
      </c>
      <c r="K205" s="11"/>
      <c r="L205" s="12"/>
    </row>
    <row r="206" s="4" customFormat="1" ht="24" spans="1:12">
      <c r="A206" s="11">
        <v>204</v>
      </c>
      <c r="B206" s="11" t="str">
        <f>"李显伟"</f>
        <v>李显伟</v>
      </c>
      <c r="C206" s="11" t="str">
        <f t="shared" si="48"/>
        <v>男</v>
      </c>
      <c r="D206" s="11" t="s">
        <v>250</v>
      </c>
      <c r="E206" s="11" t="s">
        <v>77</v>
      </c>
      <c r="F206" s="11" t="str">
        <f t="shared" si="45"/>
        <v>xerc20250109</v>
      </c>
      <c r="G206" s="12" t="s">
        <v>262</v>
      </c>
      <c r="H206" s="21" t="s">
        <v>26</v>
      </c>
      <c r="I206" s="21" t="s">
        <v>22</v>
      </c>
      <c r="J206" s="16" t="s">
        <v>42</v>
      </c>
      <c r="K206" s="11"/>
      <c r="L206" s="12"/>
    </row>
    <row r="207" s="4" customFormat="1" ht="24" spans="1:12">
      <c r="A207" s="11">
        <v>205</v>
      </c>
      <c r="B207" s="11" t="str">
        <f>"向淦"</f>
        <v>向淦</v>
      </c>
      <c r="C207" s="11" t="str">
        <f t="shared" si="48"/>
        <v>男</v>
      </c>
      <c r="D207" s="11" t="s">
        <v>250</v>
      </c>
      <c r="E207" s="11" t="s">
        <v>77</v>
      </c>
      <c r="F207" s="11" t="str">
        <f t="shared" si="45"/>
        <v>xerc20250109</v>
      </c>
      <c r="G207" s="12" t="s">
        <v>263</v>
      </c>
      <c r="H207" s="21" t="s">
        <v>59</v>
      </c>
      <c r="I207" s="21" t="s">
        <v>44</v>
      </c>
      <c r="J207" s="16" t="s">
        <v>42</v>
      </c>
      <c r="K207" s="11"/>
      <c r="L207" s="12"/>
    </row>
    <row r="208" s="4" customFormat="1" ht="24" spans="1:12">
      <c r="A208" s="11">
        <v>206</v>
      </c>
      <c r="B208" s="11" t="str">
        <f>"王思聪"</f>
        <v>王思聪</v>
      </c>
      <c r="C208" s="11" t="str">
        <f t="shared" si="48"/>
        <v>男</v>
      </c>
      <c r="D208" s="11" t="s">
        <v>250</v>
      </c>
      <c r="E208" s="11" t="s">
        <v>77</v>
      </c>
      <c r="F208" s="11" t="str">
        <f t="shared" si="45"/>
        <v>xerc20250109</v>
      </c>
      <c r="G208" s="12" t="s">
        <v>264</v>
      </c>
      <c r="H208" s="21" t="s">
        <v>59</v>
      </c>
      <c r="I208" s="21" t="s">
        <v>46</v>
      </c>
      <c r="J208" s="16" t="s">
        <v>42</v>
      </c>
      <c r="K208" s="11"/>
      <c r="L208" s="12"/>
    </row>
    <row r="209" s="4" customFormat="1" ht="24" spans="1:12">
      <c r="A209" s="11">
        <v>207</v>
      </c>
      <c r="B209" s="11" t="str">
        <f>"冉治雄"</f>
        <v>冉治雄</v>
      </c>
      <c r="C209" s="11" t="str">
        <f t="shared" si="48"/>
        <v>男</v>
      </c>
      <c r="D209" s="11" t="s">
        <v>250</v>
      </c>
      <c r="E209" s="11" t="s">
        <v>77</v>
      </c>
      <c r="F209" s="11" t="str">
        <f t="shared" si="45"/>
        <v>xerc20250109</v>
      </c>
      <c r="G209" s="12" t="s">
        <v>265</v>
      </c>
      <c r="H209" s="21" t="s">
        <v>59</v>
      </c>
      <c r="I209" s="21" t="s">
        <v>48</v>
      </c>
      <c r="J209" s="16" t="s">
        <v>42</v>
      </c>
      <c r="K209" s="11"/>
      <c r="L209" s="12"/>
    </row>
    <row r="210" s="4" customFormat="1" ht="24" spans="1:12">
      <c r="A210" s="11">
        <v>208</v>
      </c>
      <c r="B210" s="11" t="str">
        <f>" 李驰"</f>
        <v> 李驰</v>
      </c>
      <c r="C210" s="11" t="str">
        <f t="shared" si="48"/>
        <v>男</v>
      </c>
      <c r="D210" s="11" t="s">
        <v>250</v>
      </c>
      <c r="E210" s="11" t="s">
        <v>77</v>
      </c>
      <c r="F210" s="11" t="str">
        <f t="shared" si="45"/>
        <v>xerc20250109</v>
      </c>
      <c r="G210" s="12" t="s">
        <v>266</v>
      </c>
      <c r="H210" s="21" t="s">
        <v>59</v>
      </c>
      <c r="I210" s="21" t="s">
        <v>30</v>
      </c>
      <c r="J210" s="16" t="s">
        <v>42</v>
      </c>
      <c r="K210" s="11"/>
      <c r="L210" s="12"/>
    </row>
    <row r="211" s="4" customFormat="1" ht="24" spans="1:12">
      <c r="A211" s="11">
        <v>209</v>
      </c>
      <c r="B211" s="11" t="str">
        <f>"魏艳霞"</f>
        <v>魏艳霞</v>
      </c>
      <c r="C211" s="11" t="str">
        <f t="shared" ref="C211:C229" si="49">"女"</f>
        <v>女</v>
      </c>
      <c r="D211" s="11" t="s">
        <v>250</v>
      </c>
      <c r="E211" s="11" t="s">
        <v>77</v>
      </c>
      <c r="F211" s="11" t="str">
        <f t="shared" si="45"/>
        <v>xerc20250109</v>
      </c>
      <c r="G211" s="12" t="s">
        <v>267</v>
      </c>
      <c r="H211" s="21" t="s">
        <v>59</v>
      </c>
      <c r="I211" s="21" t="s">
        <v>16</v>
      </c>
      <c r="J211" s="16" t="s">
        <v>42</v>
      </c>
      <c r="K211" s="11"/>
      <c r="L211" s="12"/>
    </row>
    <row r="212" s="4" customFormat="1" ht="24" spans="1:12">
      <c r="A212" s="11">
        <v>210</v>
      </c>
      <c r="B212" s="11" t="str">
        <f>"李赵勇"</f>
        <v>李赵勇</v>
      </c>
      <c r="C212" s="11" t="str">
        <f>"男"</f>
        <v>男</v>
      </c>
      <c r="D212" s="11" t="s">
        <v>250</v>
      </c>
      <c r="E212" s="11" t="s">
        <v>77</v>
      </c>
      <c r="F212" s="11" t="str">
        <f t="shared" si="45"/>
        <v>xerc20250109</v>
      </c>
      <c r="G212" s="12" t="s">
        <v>268</v>
      </c>
      <c r="H212" s="21" t="s">
        <v>59</v>
      </c>
      <c r="I212" s="21" t="s">
        <v>59</v>
      </c>
      <c r="J212" s="16" t="s">
        <v>42</v>
      </c>
      <c r="K212" s="11"/>
      <c r="L212" s="12"/>
    </row>
    <row r="213" s="4" customFormat="1" ht="24" spans="1:12">
      <c r="A213" s="11">
        <v>211</v>
      </c>
      <c r="B213" s="11" t="str">
        <f>"沈慧灵"</f>
        <v>沈慧灵</v>
      </c>
      <c r="C213" s="11" t="str">
        <f t="shared" si="49"/>
        <v>女</v>
      </c>
      <c r="D213" s="11" t="s">
        <v>269</v>
      </c>
      <c r="E213" s="11" t="s">
        <v>270</v>
      </c>
      <c r="F213" s="11" t="str">
        <f t="shared" ref="F213:F239" si="50">"xerc20250113"</f>
        <v>xerc20250113</v>
      </c>
      <c r="G213" s="12" t="s">
        <v>271</v>
      </c>
      <c r="H213" s="21" t="s">
        <v>52</v>
      </c>
      <c r="I213" s="21" t="s">
        <v>34</v>
      </c>
      <c r="J213" s="16">
        <v>93</v>
      </c>
      <c r="K213" s="17">
        <f t="shared" ref="K213:K223" si="51">RANK(J213,$J$213:$J$239)</f>
        <v>1</v>
      </c>
      <c r="L213" s="10" t="s">
        <v>18</v>
      </c>
    </row>
    <row r="214" s="4" customFormat="1" ht="24" spans="1:12">
      <c r="A214" s="11">
        <v>212</v>
      </c>
      <c r="B214" s="11" t="str">
        <f>"齐威门"</f>
        <v>齐威门</v>
      </c>
      <c r="C214" s="11" t="str">
        <f t="shared" si="49"/>
        <v>女</v>
      </c>
      <c r="D214" s="11" t="s">
        <v>269</v>
      </c>
      <c r="E214" s="11" t="s">
        <v>270</v>
      </c>
      <c r="F214" s="11" t="str">
        <f t="shared" si="50"/>
        <v>xerc20250113</v>
      </c>
      <c r="G214" s="12" t="s">
        <v>272</v>
      </c>
      <c r="H214" s="21" t="s">
        <v>52</v>
      </c>
      <c r="I214" s="21" t="s">
        <v>48</v>
      </c>
      <c r="J214" s="16">
        <v>92</v>
      </c>
      <c r="K214" s="17">
        <f t="shared" si="51"/>
        <v>2</v>
      </c>
      <c r="L214" s="10" t="s">
        <v>18</v>
      </c>
    </row>
    <row r="215" s="4" customFormat="1" ht="24" spans="1:12">
      <c r="A215" s="11">
        <v>213</v>
      </c>
      <c r="B215" s="11" t="str">
        <f>"马迅"</f>
        <v>马迅</v>
      </c>
      <c r="C215" s="11" t="str">
        <f t="shared" si="49"/>
        <v>女</v>
      </c>
      <c r="D215" s="11" t="s">
        <v>269</v>
      </c>
      <c r="E215" s="11" t="s">
        <v>270</v>
      </c>
      <c r="F215" s="11" t="str">
        <f t="shared" si="50"/>
        <v>xerc20250113</v>
      </c>
      <c r="G215" s="12" t="s">
        <v>273</v>
      </c>
      <c r="H215" s="21" t="s">
        <v>52</v>
      </c>
      <c r="I215" s="21" t="s">
        <v>50</v>
      </c>
      <c r="J215" s="16">
        <v>91</v>
      </c>
      <c r="K215" s="17">
        <f t="shared" si="51"/>
        <v>3</v>
      </c>
      <c r="L215" s="10" t="s">
        <v>18</v>
      </c>
    </row>
    <row r="216" s="4" customFormat="1" ht="24" spans="1:12">
      <c r="A216" s="11">
        <v>214</v>
      </c>
      <c r="B216" s="11" t="str">
        <f>"向薇"</f>
        <v>向薇</v>
      </c>
      <c r="C216" s="11" t="str">
        <f t="shared" si="49"/>
        <v>女</v>
      </c>
      <c r="D216" s="11" t="s">
        <v>269</v>
      </c>
      <c r="E216" s="11" t="s">
        <v>270</v>
      </c>
      <c r="F216" s="11" t="str">
        <f t="shared" si="50"/>
        <v>xerc20250113</v>
      </c>
      <c r="G216" s="12" t="s">
        <v>274</v>
      </c>
      <c r="H216" s="21" t="s">
        <v>52</v>
      </c>
      <c r="I216" s="21" t="s">
        <v>22</v>
      </c>
      <c r="J216" s="16">
        <v>90</v>
      </c>
      <c r="K216" s="11">
        <f t="shared" si="51"/>
        <v>4</v>
      </c>
      <c r="L216" s="12"/>
    </row>
    <row r="217" s="4" customFormat="1" ht="24" spans="1:12">
      <c r="A217" s="11">
        <v>215</v>
      </c>
      <c r="B217" s="11" t="str">
        <f>"常艳"</f>
        <v>常艳</v>
      </c>
      <c r="C217" s="11" t="str">
        <f t="shared" si="49"/>
        <v>女</v>
      </c>
      <c r="D217" s="11" t="s">
        <v>269</v>
      </c>
      <c r="E217" s="11" t="s">
        <v>270</v>
      </c>
      <c r="F217" s="11" t="str">
        <f t="shared" si="50"/>
        <v>xerc20250113</v>
      </c>
      <c r="G217" s="12" t="s">
        <v>275</v>
      </c>
      <c r="H217" s="21" t="s">
        <v>52</v>
      </c>
      <c r="I217" s="21" t="s">
        <v>52</v>
      </c>
      <c r="J217" s="16">
        <v>89</v>
      </c>
      <c r="K217" s="11">
        <f t="shared" si="51"/>
        <v>5</v>
      </c>
      <c r="L217" s="12"/>
    </row>
    <row r="218" s="4" customFormat="1" ht="24" spans="1:12">
      <c r="A218" s="11">
        <v>216</v>
      </c>
      <c r="B218" s="11" t="str">
        <f>"蒋子琪"</f>
        <v>蒋子琪</v>
      </c>
      <c r="C218" s="11" t="str">
        <f t="shared" si="49"/>
        <v>女</v>
      </c>
      <c r="D218" s="11" t="s">
        <v>269</v>
      </c>
      <c r="E218" s="11" t="s">
        <v>270</v>
      </c>
      <c r="F218" s="11" t="str">
        <f t="shared" si="50"/>
        <v>xerc20250113</v>
      </c>
      <c r="G218" s="12" t="s">
        <v>276</v>
      </c>
      <c r="H218" s="21" t="s">
        <v>52</v>
      </c>
      <c r="I218" s="21" t="s">
        <v>67</v>
      </c>
      <c r="J218" s="16">
        <v>89</v>
      </c>
      <c r="K218" s="11">
        <f t="shared" si="51"/>
        <v>5</v>
      </c>
      <c r="L218" s="12"/>
    </row>
    <row r="219" s="4" customFormat="1" ht="24" spans="1:12">
      <c r="A219" s="11">
        <v>217</v>
      </c>
      <c r="B219" s="11" t="str">
        <f>"张丹妮"</f>
        <v>张丹妮</v>
      </c>
      <c r="C219" s="11" t="str">
        <f t="shared" si="49"/>
        <v>女</v>
      </c>
      <c r="D219" s="11" t="s">
        <v>269</v>
      </c>
      <c r="E219" s="11" t="s">
        <v>270</v>
      </c>
      <c r="F219" s="11" t="str">
        <f t="shared" si="50"/>
        <v>xerc20250113</v>
      </c>
      <c r="G219" s="12" t="s">
        <v>277</v>
      </c>
      <c r="H219" s="21" t="s">
        <v>52</v>
      </c>
      <c r="I219" s="21" t="s">
        <v>36</v>
      </c>
      <c r="J219" s="16">
        <v>86</v>
      </c>
      <c r="K219" s="11">
        <f t="shared" si="51"/>
        <v>7</v>
      </c>
      <c r="L219" s="12"/>
    </row>
    <row r="220" s="4" customFormat="1" ht="24" spans="1:12">
      <c r="A220" s="11">
        <v>218</v>
      </c>
      <c r="B220" s="11" t="str">
        <f>"牟星"</f>
        <v>牟星</v>
      </c>
      <c r="C220" s="11" t="str">
        <f t="shared" si="49"/>
        <v>女</v>
      </c>
      <c r="D220" s="11" t="s">
        <v>269</v>
      </c>
      <c r="E220" s="11" t="s">
        <v>270</v>
      </c>
      <c r="F220" s="11" t="str">
        <f t="shared" si="50"/>
        <v>xerc20250113</v>
      </c>
      <c r="G220" s="12" t="s">
        <v>278</v>
      </c>
      <c r="H220" s="21" t="s">
        <v>52</v>
      </c>
      <c r="I220" s="21" t="s">
        <v>26</v>
      </c>
      <c r="J220" s="16">
        <v>80</v>
      </c>
      <c r="K220" s="11">
        <f t="shared" si="51"/>
        <v>8</v>
      </c>
      <c r="L220" s="12"/>
    </row>
    <row r="221" s="4" customFormat="1" ht="24" spans="1:12">
      <c r="A221" s="11">
        <v>219</v>
      </c>
      <c r="B221" s="11" t="str">
        <f>"覃惠敏"</f>
        <v>覃惠敏</v>
      </c>
      <c r="C221" s="11" t="str">
        <f t="shared" si="49"/>
        <v>女</v>
      </c>
      <c r="D221" s="11" t="s">
        <v>269</v>
      </c>
      <c r="E221" s="11" t="s">
        <v>270</v>
      </c>
      <c r="F221" s="11" t="str">
        <f t="shared" si="50"/>
        <v>xerc20250113</v>
      </c>
      <c r="G221" s="12" t="s">
        <v>279</v>
      </c>
      <c r="H221" s="21" t="s">
        <v>52</v>
      </c>
      <c r="I221" s="21" t="s">
        <v>71</v>
      </c>
      <c r="J221" s="16">
        <v>79</v>
      </c>
      <c r="K221" s="11">
        <f t="shared" si="51"/>
        <v>9</v>
      </c>
      <c r="L221" s="12"/>
    </row>
    <row r="222" s="4" customFormat="1" ht="24" spans="1:12">
      <c r="A222" s="11">
        <v>220</v>
      </c>
      <c r="B222" s="11" t="str">
        <f>"梁鋆"</f>
        <v>梁鋆</v>
      </c>
      <c r="C222" s="11" t="str">
        <f t="shared" si="49"/>
        <v>女</v>
      </c>
      <c r="D222" s="11" t="s">
        <v>269</v>
      </c>
      <c r="E222" s="11" t="s">
        <v>270</v>
      </c>
      <c r="F222" s="11" t="str">
        <f t="shared" si="50"/>
        <v>xerc20250113</v>
      </c>
      <c r="G222" s="12" t="s">
        <v>280</v>
      </c>
      <c r="H222" s="21" t="s">
        <v>52</v>
      </c>
      <c r="I222" s="21" t="s">
        <v>44</v>
      </c>
      <c r="J222" s="16">
        <v>73</v>
      </c>
      <c r="K222" s="11">
        <f t="shared" si="51"/>
        <v>10</v>
      </c>
      <c r="L222" s="12"/>
    </row>
    <row r="223" s="4" customFormat="1" ht="24" spans="1:12">
      <c r="A223" s="11">
        <v>221</v>
      </c>
      <c r="B223" s="11" t="str">
        <f>"肖言"</f>
        <v>肖言</v>
      </c>
      <c r="C223" s="11" t="str">
        <f t="shared" si="49"/>
        <v>女</v>
      </c>
      <c r="D223" s="11" t="s">
        <v>269</v>
      </c>
      <c r="E223" s="11" t="s">
        <v>270</v>
      </c>
      <c r="F223" s="11" t="str">
        <f t="shared" si="50"/>
        <v>xerc20250113</v>
      </c>
      <c r="G223" s="12" t="s">
        <v>281</v>
      </c>
      <c r="H223" s="21" t="s">
        <v>52</v>
      </c>
      <c r="I223" s="21" t="s">
        <v>20</v>
      </c>
      <c r="J223" s="16">
        <v>63</v>
      </c>
      <c r="K223" s="11">
        <f t="shared" si="51"/>
        <v>11</v>
      </c>
      <c r="L223" s="12"/>
    </row>
    <row r="224" s="4" customFormat="1" ht="24" spans="1:12">
      <c r="A224" s="11">
        <v>222</v>
      </c>
      <c r="B224" s="11" t="str">
        <f>"王龙娇"</f>
        <v>王龙娇</v>
      </c>
      <c r="C224" s="11" t="str">
        <f t="shared" si="49"/>
        <v>女</v>
      </c>
      <c r="D224" s="11" t="s">
        <v>269</v>
      </c>
      <c r="E224" s="11" t="s">
        <v>270</v>
      </c>
      <c r="F224" s="11" t="str">
        <f t="shared" si="50"/>
        <v>xerc20250113</v>
      </c>
      <c r="G224" s="12" t="s">
        <v>282</v>
      </c>
      <c r="H224" s="21" t="s">
        <v>52</v>
      </c>
      <c r="I224" s="21" t="s">
        <v>17</v>
      </c>
      <c r="J224" s="16" t="s">
        <v>42</v>
      </c>
      <c r="K224" s="11"/>
      <c r="L224" s="12"/>
    </row>
    <row r="225" s="4" customFormat="1" ht="24" spans="1:12">
      <c r="A225" s="11">
        <v>223</v>
      </c>
      <c r="B225" s="11" t="str">
        <f>"印仕荣"</f>
        <v>印仕荣</v>
      </c>
      <c r="C225" s="11" t="str">
        <f t="shared" si="49"/>
        <v>女</v>
      </c>
      <c r="D225" s="11" t="s">
        <v>269</v>
      </c>
      <c r="E225" s="11" t="s">
        <v>270</v>
      </c>
      <c r="F225" s="11" t="str">
        <f t="shared" si="50"/>
        <v>xerc20250113</v>
      </c>
      <c r="G225" s="12" t="s">
        <v>283</v>
      </c>
      <c r="H225" s="21" t="s">
        <v>52</v>
      </c>
      <c r="I225" s="21" t="s">
        <v>46</v>
      </c>
      <c r="J225" s="16" t="s">
        <v>42</v>
      </c>
      <c r="K225" s="11"/>
      <c r="L225" s="12"/>
    </row>
    <row r="226" s="4" customFormat="1" ht="24" spans="1:12">
      <c r="A226" s="11">
        <v>224</v>
      </c>
      <c r="B226" s="11" t="str">
        <f>"李泽贤"</f>
        <v>李泽贤</v>
      </c>
      <c r="C226" s="11" t="str">
        <f t="shared" si="49"/>
        <v>女</v>
      </c>
      <c r="D226" s="11" t="s">
        <v>269</v>
      </c>
      <c r="E226" s="11" t="s">
        <v>270</v>
      </c>
      <c r="F226" s="11" t="str">
        <f t="shared" si="50"/>
        <v>xerc20250113</v>
      </c>
      <c r="G226" s="12" t="s">
        <v>284</v>
      </c>
      <c r="H226" s="21" t="s">
        <v>52</v>
      </c>
      <c r="I226" s="21" t="s">
        <v>30</v>
      </c>
      <c r="J226" s="16" t="s">
        <v>42</v>
      </c>
      <c r="K226" s="11"/>
      <c r="L226" s="12"/>
    </row>
    <row r="227" s="4" customFormat="1" ht="24" spans="1:12">
      <c r="A227" s="11">
        <v>225</v>
      </c>
      <c r="B227" s="11" t="str">
        <f>"谭鋆"</f>
        <v>谭鋆</v>
      </c>
      <c r="C227" s="11" t="str">
        <f t="shared" si="49"/>
        <v>女</v>
      </c>
      <c r="D227" s="11" t="s">
        <v>269</v>
      </c>
      <c r="E227" s="11" t="s">
        <v>270</v>
      </c>
      <c r="F227" s="11" t="str">
        <f t="shared" si="50"/>
        <v>xerc20250113</v>
      </c>
      <c r="G227" s="12" t="s">
        <v>285</v>
      </c>
      <c r="H227" s="21" t="s">
        <v>52</v>
      </c>
      <c r="I227" s="21" t="s">
        <v>54</v>
      </c>
      <c r="J227" s="16" t="s">
        <v>42</v>
      </c>
      <c r="K227" s="11"/>
      <c r="L227" s="12"/>
    </row>
    <row r="228" s="4" customFormat="1" ht="24" spans="1:12">
      <c r="A228" s="11">
        <v>226</v>
      </c>
      <c r="B228" s="11" t="str">
        <f>"杨丽"</f>
        <v>杨丽</v>
      </c>
      <c r="C228" s="11" t="str">
        <f t="shared" si="49"/>
        <v>女</v>
      </c>
      <c r="D228" s="11" t="s">
        <v>269</v>
      </c>
      <c r="E228" s="11" t="s">
        <v>270</v>
      </c>
      <c r="F228" s="11" t="str">
        <f t="shared" si="50"/>
        <v>xerc20250113</v>
      </c>
      <c r="G228" s="12" t="s">
        <v>286</v>
      </c>
      <c r="H228" s="21" t="s">
        <v>52</v>
      </c>
      <c r="I228" s="21" t="s">
        <v>56</v>
      </c>
      <c r="J228" s="16" t="s">
        <v>42</v>
      </c>
      <c r="K228" s="11"/>
      <c r="L228" s="12"/>
    </row>
    <row r="229" s="4" customFormat="1" ht="24" spans="1:12">
      <c r="A229" s="11">
        <v>227</v>
      </c>
      <c r="B229" s="11" t="str">
        <f>"汤吉鸿"</f>
        <v>汤吉鸿</v>
      </c>
      <c r="C229" s="11" t="str">
        <f t="shared" si="49"/>
        <v>女</v>
      </c>
      <c r="D229" s="11" t="s">
        <v>269</v>
      </c>
      <c r="E229" s="11" t="s">
        <v>270</v>
      </c>
      <c r="F229" s="11" t="str">
        <f t="shared" si="50"/>
        <v>xerc20250113</v>
      </c>
      <c r="G229" s="12" t="s">
        <v>287</v>
      </c>
      <c r="H229" s="21" t="s">
        <v>52</v>
      </c>
      <c r="I229" s="21" t="s">
        <v>16</v>
      </c>
      <c r="J229" s="16" t="s">
        <v>42</v>
      </c>
      <c r="K229" s="11"/>
      <c r="L229" s="12"/>
    </row>
    <row r="230" s="4" customFormat="1" ht="24" spans="1:12">
      <c r="A230" s="11">
        <v>228</v>
      </c>
      <c r="B230" s="11" t="str">
        <f>"蒋中一"</f>
        <v>蒋中一</v>
      </c>
      <c r="C230" s="11" t="str">
        <f>"男"</f>
        <v>男</v>
      </c>
      <c r="D230" s="11" t="s">
        <v>269</v>
      </c>
      <c r="E230" s="11" t="s">
        <v>270</v>
      </c>
      <c r="F230" s="11" t="str">
        <f t="shared" si="50"/>
        <v>xerc20250113</v>
      </c>
      <c r="G230" s="12" t="s">
        <v>288</v>
      </c>
      <c r="H230" s="21" t="s">
        <v>52</v>
      </c>
      <c r="I230" s="21" t="s">
        <v>59</v>
      </c>
      <c r="J230" s="16" t="s">
        <v>42</v>
      </c>
      <c r="K230" s="11"/>
      <c r="L230" s="12"/>
    </row>
    <row r="231" s="4" customFormat="1" ht="24" spans="1:12">
      <c r="A231" s="11">
        <v>229</v>
      </c>
      <c r="B231" s="11" t="str">
        <f>"李艳"</f>
        <v>李艳</v>
      </c>
      <c r="C231" s="11" t="str">
        <f t="shared" ref="C231:C233" si="52">"女"</f>
        <v>女</v>
      </c>
      <c r="D231" s="11" t="s">
        <v>269</v>
      </c>
      <c r="E231" s="11" t="s">
        <v>270</v>
      </c>
      <c r="F231" s="11" t="str">
        <f t="shared" si="50"/>
        <v>xerc20250113</v>
      </c>
      <c r="G231" s="12" t="s">
        <v>289</v>
      </c>
      <c r="H231" s="21" t="s">
        <v>52</v>
      </c>
      <c r="I231" s="21" t="s">
        <v>61</v>
      </c>
      <c r="J231" s="16" t="s">
        <v>42</v>
      </c>
      <c r="K231" s="11"/>
      <c r="L231" s="12"/>
    </row>
    <row r="232" s="4" customFormat="1" ht="24" spans="1:12">
      <c r="A232" s="11">
        <v>230</v>
      </c>
      <c r="B232" s="11" t="str">
        <f>"杨亚兰"</f>
        <v>杨亚兰</v>
      </c>
      <c r="C232" s="11" t="str">
        <f t="shared" si="52"/>
        <v>女</v>
      </c>
      <c r="D232" s="11" t="s">
        <v>269</v>
      </c>
      <c r="E232" s="11" t="s">
        <v>270</v>
      </c>
      <c r="F232" s="11" t="str">
        <f t="shared" si="50"/>
        <v>xerc20250113</v>
      </c>
      <c r="G232" s="12" t="s">
        <v>290</v>
      </c>
      <c r="H232" s="21" t="s">
        <v>52</v>
      </c>
      <c r="I232" s="21" t="s">
        <v>24</v>
      </c>
      <c r="J232" s="16" t="s">
        <v>42</v>
      </c>
      <c r="K232" s="11"/>
      <c r="L232" s="12"/>
    </row>
    <row r="233" s="4" customFormat="1" ht="24" spans="1:12">
      <c r="A233" s="11">
        <v>231</v>
      </c>
      <c r="B233" s="11" t="str">
        <f>"向哲逸"</f>
        <v>向哲逸</v>
      </c>
      <c r="C233" s="11" t="str">
        <f t="shared" si="52"/>
        <v>女</v>
      </c>
      <c r="D233" s="11" t="s">
        <v>269</v>
      </c>
      <c r="E233" s="11" t="s">
        <v>270</v>
      </c>
      <c r="F233" s="11" t="str">
        <f t="shared" si="50"/>
        <v>xerc20250113</v>
      </c>
      <c r="G233" s="12" t="s">
        <v>291</v>
      </c>
      <c r="H233" s="21" t="s">
        <v>52</v>
      </c>
      <c r="I233" s="21" t="s">
        <v>40</v>
      </c>
      <c r="J233" s="16" t="s">
        <v>42</v>
      </c>
      <c r="K233" s="11"/>
      <c r="L233" s="12"/>
    </row>
    <row r="234" s="4" customFormat="1" ht="24" spans="1:12">
      <c r="A234" s="11">
        <v>232</v>
      </c>
      <c r="B234" s="11" t="str">
        <f>"谯铃"</f>
        <v>谯铃</v>
      </c>
      <c r="C234" s="11" t="str">
        <f>"男"</f>
        <v>男</v>
      </c>
      <c r="D234" s="11" t="s">
        <v>269</v>
      </c>
      <c r="E234" s="11" t="s">
        <v>270</v>
      </c>
      <c r="F234" s="11" t="str">
        <f t="shared" si="50"/>
        <v>xerc20250113</v>
      </c>
      <c r="G234" s="12" t="s">
        <v>292</v>
      </c>
      <c r="H234" s="21" t="s">
        <v>52</v>
      </c>
      <c r="I234" s="21" t="s">
        <v>28</v>
      </c>
      <c r="J234" s="16" t="s">
        <v>42</v>
      </c>
      <c r="K234" s="11"/>
      <c r="L234" s="12"/>
    </row>
    <row r="235" s="4" customFormat="1" ht="24" spans="1:12">
      <c r="A235" s="11">
        <v>233</v>
      </c>
      <c r="B235" s="11" t="str">
        <f>"黄秀涵"</f>
        <v>黄秀涵</v>
      </c>
      <c r="C235" s="11" t="str">
        <f t="shared" ref="C235:C240" si="53">"女"</f>
        <v>女</v>
      </c>
      <c r="D235" s="11" t="s">
        <v>269</v>
      </c>
      <c r="E235" s="11" t="s">
        <v>270</v>
      </c>
      <c r="F235" s="11" t="str">
        <f t="shared" si="50"/>
        <v>xerc20250113</v>
      </c>
      <c r="G235" s="12" t="s">
        <v>293</v>
      </c>
      <c r="H235" s="21" t="s">
        <v>52</v>
      </c>
      <c r="I235" s="21" t="s">
        <v>63</v>
      </c>
      <c r="J235" s="16" t="s">
        <v>42</v>
      </c>
      <c r="K235" s="11"/>
      <c r="L235" s="12"/>
    </row>
    <row r="236" s="4" customFormat="1" ht="24" spans="1:12">
      <c r="A236" s="11">
        <v>234</v>
      </c>
      <c r="B236" s="11" t="str">
        <f>"谭静"</f>
        <v>谭静</v>
      </c>
      <c r="C236" s="11" t="str">
        <f t="shared" si="53"/>
        <v>女</v>
      </c>
      <c r="D236" s="11" t="s">
        <v>269</v>
      </c>
      <c r="E236" s="11" t="s">
        <v>270</v>
      </c>
      <c r="F236" s="11" t="str">
        <f t="shared" si="50"/>
        <v>xerc20250113</v>
      </c>
      <c r="G236" s="12" t="s">
        <v>294</v>
      </c>
      <c r="H236" s="21" t="s">
        <v>52</v>
      </c>
      <c r="I236" s="21" t="s">
        <v>32</v>
      </c>
      <c r="J236" s="16" t="s">
        <v>42</v>
      </c>
      <c r="K236" s="11"/>
      <c r="L236" s="12"/>
    </row>
    <row r="237" s="4" customFormat="1" ht="24" spans="1:12">
      <c r="A237" s="11">
        <v>235</v>
      </c>
      <c r="B237" s="11" t="str">
        <f>"廖欢"</f>
        <v>廖欢</v>
      </c>
      <c r="C237" s="11" t="str">
        <f t="shared" si="53"/>
        <v>女</v>
      </c>
      <c r="D237" s="11" t="s">
        <v>269</v>
      </c>
      <c r="E237" s="11" t="s">
        <v>270</v>
      </c>
      <c r="F237" s="11" t="str">
        <f t="shared" si="50"/>
        <v>xerc20250113</v>
      </c>
      <c r="G237" s="12" t="s">
        <v>295</v>
      </c>
      <c r="H237" s="21" t="s">
        <v>52</v>
      </c>
      <c r="I237" s="21" t="s">
        <v>65</v>
      </c>
      <c r="J237" s="16" t="s">
        <v>42</v>
      </c>
      <c r="K237" s="11"/>
      <c r="L237" s="12"/>
    </row>
    <row r="238" s="4" customFormat="1" ht="24" spans="1:12">
      <c r="A238" s="11">
        <v>236</v>
      </c>
      <c r="B238" s="11" t="str">
        <f>"王静"</f>
        <v>王静</v>
      </c>
      <c r="C238" s="11" t="str">
        <f t="shared" si="53"/>
        <v>女</v>
      </c>
      <c r="D238" s="11" t="s">
        <v>269</v>
      </c>
      <c r="E238" s="11" t="s">
        <v>270</v>
      </c>
      <c r="F238" s="11" t="str">
        <f t="shared" si="50"/>
        <v>xerc20250113</v>
      </c>
      <c r="G238" s="12" t="s">
        <v>296</v>
      </c>
      <c r="H238" s="21" t="s">
        <v>52</v>
      </c>
      <c r="I238" s="21" t="s">
        <v>38</v>
      </c>
      <c r="J238" s="16" t="s">
        <v>42</v>
      </c>
      <c r="K238" s="11"/>
      <c r="L238" s="12"/>
    </row>
    <row r="239" s="4" customFormat="1" ht="24" spans="1:12">
      <c r="A239" s="11">
        <v>237</v>
      </c>
      <c r="B239" s="11" t="str">
        <f>"杨丽"</f>
        <v>杨丽</v>
      </c>
      <c r="C239" s="11" t="str">
        <f t="shared" si="53"/>
        <v>女</v>
      </c>
      <c r="D239" s="11" t="s">
        <v>269</v>
      </c>
      <c r="E239" s="11" t="s">
        <v>270</v>
      </c>
      <c r="F239" s="11" t="str">
        <f t="shared" si="50"/>
        <v>xerc20250113</v>
      </c>
      <c r="G239" s="12" t="s">
        <v>297</v>
      </c>
      <c r="H239" s="21" t="s">
        <v>52</v>
      </c>
      <c r="I239" s="21" t="s">
        <v>69</v>
      </c>
      <c r="J239" s="16" t="s">
        <v>42</v>
      </c>
      <c r="K239" s="11"/>
      <c r="L239" s="12"/>
    </row>
    <row r="240" s="4" customFormat="1" ht="24" spans="1:12">
      <c r="A240" s="11">
        <v>238</v>
      </c>
      <c r="B240" s="11" t="str">
        <f>"李从瑢"</f>
        <v>李从瑢</v>
      </c>
      <c r="C240" s="11" t="str">
        <f t="shared" si="53"/>
        <v>女</v>
      </c>
      <c r="D240" s="11" t="s">
        <v>269</v>
      </c>
      <c r="E240" s="11" t="s">
        <v>298</v>
      </c>
      <c r="F240" s="11" t="str">
        <f t="shared" ref="F240:F276" si="54">"xerc20250114"</f>
        <v>xerc20250114</v>
      </c>
      <c r="G240" s="12" t="s">
        <v>299</v>
      </c>
      <c r="H240" s="21" t="s">
        <v>30</v>
      </c>
      <c r="I240" s="21" t="s">
        <v>69</v>
      </c>
      <c r="J240" s="16">
        <v>96</v>
      </c>
      <c r="K240" s="17">
        <f t="shared" ref="K240:K255" si="55">RANK(J240,$J$240:$J$276)</f>
        <v>1</v>
      </c>
      <c r="L240" s="10" t="s">
        <v>18</v>
      </c>
    </row>
    <row r="241" s="4" customFormat="1" ht="24" spans="1:12">
      <c r="A241" s="11">
        <v>239</v>
      </c>
      <c r="B241" s="11" t="str">
        <f>"徐枫"</f>
        <v>徐枫</v>
      </c>
      <c r="C241" s="11" t="str">
        <f>"男"</f>
        <v>男</v>
      </c>
      <c r="D241" s="11" t="s">
        <v>269</v>
      </c>
      <c r="E241" s="11" t="s">
        <v>298</v>
      </c>
      <c r="F241" s="11" t="str">
        <f t="shared" si="54"/>
        <v>xerc20250114</v>
      </c>
      <c r="G241" s="12" t="s">
        <v>300</v>
      </c>
      <c r="H241" s="21" t="s">
        <v>30</v>
      </c>
      <c r="I241" s="21" t="s">
        <v>50</v>
      </c>
      <c r="J241" s="16">
        <v>91</v>
      </c>
      <c r="K241" s="17">
        <f t="shared" si="55"/>
        <v>2</v>
      </c>
      <c r="L241" s="10" t="s">
        <v>18</v>
      </c>
    </row>
    <row r="242" s="4" customFormat="1" ht="24" spans="1:12">
      <c r="A242" s="11">
        <v>240</v>
      </c>
      <c r="B242" s="11" t="str">
        <f>"李倩"</f>
        <v>李倩</v>
      </c>
      <c r="C242" s="11" t="str">
        <f t="shared" ref="C242:C253" si="56">"女"</f>
        <v>女</v>
      </c>
      <c r="D242" s="11" t="s">
        <v>269</v>
      </c>
      <c r="E242" s="11" t="s">
        <v>298</v>
      </c>
      <c r="F242" s="11" t="str">
        <f t="shared" si="54"/>
        <v>xerc20250114</v>
      </c>
      <c r="G242" s="12" t="s">
        <v>301</v>
      </c>
      <c r="H242" s="21" t="s">
        <v>16</v>
      </c>
      <c r="I242" s="21" t="s">
        <v>16</v>
      </c>
      <c r="J242" s="16">
        <v>88</v>
      </c>
      <c r="K242" s="17">
        <f t="shared" si="55"/>
        <v>3</v>
      </c>
      <c r="L242" s="10" t="s">
        <v>18</v>
      </c>
    </row>
    <row r="243" s="4" customFormat="1" ht="24" spans="1:12">
      <c r="A243" s="11">
        <v>241</v>
      </c>
      <c r="B243" s="11" t="str">
        <f>"郑蓉"</f>
        <v>郑蓉</v>
      </c>
      <c r="C243" s="11" t="str">
        <f t="shared" si="56"/>
        <v>女</v>
      </c>
      <c r="D243" s="11" t="s">
        <v>269</v>
      </c>
      <c r="E243" s="11" t="s">
        <v>298</v>
      </c>
      <c r="F243" s="11" t="str">
        <f t="shared" si="54"/>
        <v>xerc20250114</v>
      </c>
      <c r="G243" s="12" t="s">
        <v>302</v>
      </c>
      <c r="H243" s="21" t="s">
        <v>30</v>
      </c>
      <c r="I243" s="21" t="s">
        <v>56</v>
      </c>
      <c r="J243" s="16">
        <v>87</v>
      </c>
      <c r="K243" s="11">
        <f t="shared" si="55"/>
        <v>4</v>
      </c>
      <c r="L243" s="12"/>
    </row>
    <row r="244" s="4" customFormat="1" ht="24" spans="1:12">
      <c r="A244" s="11">
        <v>242</v>
      </c>
      <c r="B244" s="11" t="str">
        <f>"刘娜"</f>
        <v>刘娜</v>
      </c>
      <c r="C244" s="11" t="str">
        <f t="shared" si="56"/>
        <v>女</v>
      </c>
      <c r="D244" s="11" t="s">
        <v>269</v>
      </c>
      <c r="E244" s="11" t="s">
        <v>298</v>
      </c>
      <c r="F244" s="11" t="str">
        <f t="shared" si="54"/>
        <v>xerc20250114</v>
      </c>
      <c r="G244" s="12" t="s">
        <v>303</v>
      </c>
      <c r="H244" s="21" t="s">
        <v>30</v>
      </c>
      <c r="I244" s="21" t="s">
        <v>36</v>
      </c>
      <c r="J244" s="16">
        <v>87</v>
      </c>
      <c r="K244" s="11">
        <f t="shared" si="55"/>
        <v>4</v>
      </c>
      <c r="L244" s="12"/>
    </row>
    <row r="245" s="4" customFormat="1" ht="24" spans="1:12">
      <c r="A245" s="11">
        <v>243</v>
      </c>
      <c r="B245" s="11" t="str">
        <f>"李燕"</f>
        <v>李燕</v>
      </c>
      <c r="C245" s="11" t="str">
        <f t="shared" si="56"/>
        <v>女</v>
      </c>
      <c r="D245" s="11" t="s">
        <v>269</v>
      </c>
      <c r="E245" s="11" t="s">
        <v>298</v>
      </c>
      <c r="F245" s="11" t="str">
        <f t="shared" si="54"/>
        <v>xerc20250114</v>
      </c>
      <c r="G245" s="12" t="s">
        <v>304</v>
      </c>
      <c r="H245" s="21" t="s">
        <v>30</v>
      </c>
      <c r="I245" s="21" t="s">
        <v>17</v>
      </c>
      <c r="J245" s="16">
        <v>86</v>
      </c>
      <c r="K245" s="11">
        <f t="shared" si="55"/>
        <v>6</v>
      </c>
      <c r="L245" s="12"/>
    </row>
    <row r="246" s="4" customFormat="1" ht="24" spans="1:12">
      <c r="A246" s="11">
        <v>244</v>
      </c>
      <c r="B246" s="11" t="str">
        <f>"谭周宇"</f>
        <v>谭周宇</v>
      </c>
      <c r="C246" s="11" t="str">
        <f t="shared" si="56"/>
        <v>女</v>
      </c>
      <c r="D246" s="11" t="s">
        <v>269</v>
      </c>
      <c r="E246" s="11" t="s">
        <v>298</v>
      </c>
      <c r="F246" s="11" t="str">
        <f t="shared" si="54"/>
        <v>xerc20250114</v>
      </c>
      <c r="G246" s="12" t="s">
        <v>305</v>
      </c>
      <c r="H246" s="21" t="s">
        <v>30</v>
      </c>
      <c r="I246" s="21" t="s">
        <v>65</v>
      </c>
      <c r="J246" s="16">
        <v>85</v>
      </c>
      <c r="K246" s="11">
        <f t="shared" si="55"/>
        <v>7</v>
      </c>
      <c r="L246" s="12"/>
    </row>
    <row r="247" s="4" customFormat="1" ht="24" spans="1:12">
      <c r="A247" s="11">
        <v>245</v>
      </c>
      <c r="B247" s="11" t="str">
        <f>"陈秀枝"</f>
        <v>陈秀枝</v>
      </c>
      <c r="C247" s="11" t="str">
        <f t="shared" si="56"/>
        <v>女</v>
      </c>
      <c r="D247" s="11" t="s">
        <v>269</v>
      </c>
      <c r="E247" s="11" t="s">
        <v>298</v>
      </c>
      <c r="F247" s="11" t="str">
        <f t="shared" si="54"/>
        <v>xerc20250114</v>
      </c>
      <c r="G247" s="12" t="s">
        <v>306</v>
      </c>
      <c r="H247" s="21" t="s">
        <v>30</v>
      </c>
      <c r="I247" s="21" t="s">
        <v>22</v>
      </c>
      <c r="J247" s="16">
        <v>85</v>
      </c>
      <c r="K247" s="11">
        <f t="shared" si="55"/>
        <v>7</v>
      </c>
      <c r="L247" s="12"/>
    </row>
    <row r="248" s="4" customFormat="1" ht="24" spans="1:12">
      <c r="A248" s="11">
        <v>246</v>
      </c>
      <c r="B248" s="11" t="str">
        <f>"向迎香"</f>
        <v>向迎香</v>
      </c>
      <c r="C248" s="11" t="str">
        <f t="shared" si="56"/>
        <v>女</v>
      </c>
      <c r="D248" s="11" t="s">
        <v>269</v>
      </c>
      <c r="E248" s="11" t="s">
        <v>298</v>
      </c>
      <c r="F248" s="11" t="str">
        <f t="shared" si="54"/>
        <v>xerc20250114</v>
      </c>
      <c r="G248" s="12" t="s">
        <v>307</v>
      </c>
      <c r="H248" s="21" t="s">
        <v>16</v>
      </c>
      <c r="I248" s="21" t="s">
        <v>30</v>
      </c>
      <c r="J248" s="16">
        <v>85</v>
      </c>
      <c r="K248" s="11">
        <f t="shared" si="55"/>
        <v>7</v>
      </c>
      <c r="L248" s="12"/>
    </row>
    <row r="249" s="4" customFormat="1" ht="24" spans="1:12">
      <c r="A249" s="11">
        <v>247</v>
      </c>
      <c r="B249" s="11" t="str">
        <f>"郑红艳"</f>
        <v>郑红艳</v>
      </c>
      <c r="C249" s="11" t="str">
        <f t="shared" si="56"/>
        <v>女</v>
      </c>
      <c r="D249" s="11" t="s">
        <v>269</v>
      </c>
      <c r="E249" s="11" t="s">
        <v>298</v>
      </c>
      <c r="F249" s="11" t="str">
        <f t="shared" si="54"/>
        <v>xerc20250114</v>
      </c>
      <c r="G249" s="12" t="s">
        <v>308</v>
      </c>
      <c r="H249" s="21" t="s">
        <v>30</v>
      </c>
      <c r="I249" s="21" t="s">
        <v>52</v>
      </c>
      <c r="J249" s="16">
        <v>84</v>
      </c>
      <c r="K249" s="11">
        <f t="shared" si="55"/>
        <v>10</v>
      </c>
      <c r="L249" s="12"/>
    </row>
    <row r="250" s="4" customFormat="1" ht="24" spans="1:12">
      <c r="A250" s="11">
        <v>248</v>
      </c>
      <c r="B250" s="11" t="str">
        <f>"王甜"</f>
        <v>王甜</v>
      </c>
      <c r="C250" s="11" t="str">
        <f t="shared" si="56"/>
        <v>女</v>
      </c>
      <c r="D250" s="11" t="s">
        <v>269</v>
      </c>
      <c r="E250" s="11" t="s">
        <v>298</v>
      </c>
      <c r="F250" s="11" t="str">
        <f t="shared" si="54"/>
        <v>xerc20250114</v>
      </c>
      <c r="G250" s="12" t="s">
        <v>309</v>
      </c>
      <c r="H250" s="21" t="s">
        <v>30</v>
      </c>
      <c r="I250" s="21" t="s">
        <v>73</v>
      </c>
      <c r="J250" s="16">
        <v>83</v>
      </c>
      <c r="K250" s="11">
        <f t="shared" si="55"/>
        <v>11</v>
      </c>
      <c r="L250" s="12"/>
    </row>
    <row r="251" s="4" customFormat="1" ht="24" spans="1:12">
      <c r="A251" s="11">
        <v>249</v>
      </c>
      <c r="B251" s="11" t="str">
        <f>"张巧丽"</f>
        <v>张巧丽</v>
      </c>
      <c r="C251" s="11" t="str">
        <f t="shared" si="56"/>
        <v>女</v>
      </c>
      <c r="D251" s="11" t="s">
        <v>269</v>
      </c>
      <c r="E251" s="11" t="s">
        <v>298</v>
      </c>
      <c r="F251" s="11" t="str">
        <f t="shared" si="54"/>
        <v>xerc20250114</v>
      </c>
      <c r="G251" s="12" t="s">
        <v>310</v>
      </c>
      <c r="H251" s="21" t="s">
        <v>16</v>
      </c>
      <c r="I251" s="21" t="s">
        <v>48</v>
      </c>
      <c r="J251" s="16">
        <v>83</v>
      </c>
      <c r="K251" s="11">
        <f t="shared" si="55"/>
        <v>11</v>
      </c>
      <c r="L251" s="12"/>
    </row>
    <row r="252" s="4" customFormat="1" ht="24" spans="1:12">
      <c r="A252" s="11">
        <v>250</v>
      </c>
      <c r="B252" s="11" t="str">
        <f>"黄渝凤"</f>
        <v>黄渝凤</v>
      </c>
      <c r="C252" s="11" t="str">
        <f t="shared" si="56"/>
        <v>女</v>
      </c>
      <c r="D252" s="11" t="s">
        <v>269</v>
      </c>
      <c r="E252" s="11" t="s">
        <v>298</v>
      </c>
      <c r="F252" s="11" t="str">
        <f t="shared" si="54"/>
        <v>xerc20250114</v>
      </c>
      <c r="G252" s="12" t="s">
        <v>311</v>
      </c>
      <c r="H252" s="21" t="s">
        <v>16</v>
      </c>
      <c r="I252" s="21" t="s">
        <v>50</v>
      </c>
      <c r="J252" s="16">
        <v>83</v>
      </c>
      <c r="K252" s="11">
        <f t="shared" si="55"/>
        <v>11</v>
      </c>
      <c r="L252" s="12"/>
    </row>
    <row r="253" s="4" customFormat="1" ht="24" spans="1:12">
      <c r="A253" s="11">
        <v>251</v>
      </c>
      <c r="B253" s="11" t="str">
        <f>"周田星"</f>
        <v>周田星</v>
      </c>
      <c r="C253" s="11" t="str">
        <f t="shared" si="56"/>
        <v>女</v>
      </c>
      <c r="D253" s="11" t="s">
        <v>269</v>
      </c>
      <c r="E253" s="11" t="s">
        <v>298</v>
      </c>
      <c r="F253" s="11" t="str">
        <f t="shared" si="54"/>
        <v>xerc20250114</v>
      </c>
      <c r="G253" s="12" t="s">
        <v>312</v>
      </c>
      <c r="H253" s="21" t="s">
        <v>30</v>
      </c>
      <c r="I253" s="21" t="s">
        <v>44</v>
      </c>
      <c r="J253" s="16">
        <v>82</v>
      </c>
      <c r="K253" s="11">
        <f t="shared" si="55"/>
        <v>14</v>
      </c>
      <c r="L253" s="12"/>
    </row>
    <row r="254" s="4" customFormat="1" ht="24" spans="1:12">
      <c r="A254" s="11">
        <v>252</v>
      </c>
      <c r="B254" s="11" t="str">
        <f>"李团圆"</f>
        <v>李团圆</v>
      </c>
      <c r="C254" s="11" t="str">
        <f>"男"</f>
        <v>男</v>
      </c>
      <c r="D254" s="11" t="s">
        <v>269</v>
      </c>
      <c r="E254" s="11" t="s">
        <v>298</v>
      </c>
      <c r="F254" s="11" t="str">
        <f t="shared" si="54"/>
        <v>xerc20250114</v>
      </c>
      <c r="G254" s="12" t="s">
        <v>313</v>
      </c>
      <c r="H254" s="21" t="s">
        <v>30</v>
      </c>
      <c r="I254" s="21" t="s">
        <v>59</v>
      </c>
      <c r="J254" s="16">
        <v>81</v>
      </c>
      <c r="K254" s="11">
        <f t="shared" si="55"/>
        <v>15</v>
      </c>
      <c r="L254" s="12"/>
    </row>
    <row r="255" s="4" customFormat="1" ht="24" spans="1:12">
      <c r="A255" s="11">
        <v>253</v>
      </c>
      <c r="B255" s="11" t="str">
        <f>"贺佳"</f>
        <v>贺佳</v>
      </c>
      <c r="C255" s="11" t="str">
        <f t="shared" ref="C255:C260" si="57">"女"</f>
        <v>女</v>
      </c>
      <c r="D255" s="11" t="s">
        <v>269</v>
      </c>
      <c r="E255" s="11" t="s">
        <v>298</v>
      </c>
      <c r="F255" s="11" t="str">
        <f t="shared" si="54"/>
        <v>xerc20250114</v>
      </c>
      <c r="G255" s="12" t="s">
        <v>314</v>
      </c>
      <c r="H255" s="21" t="s">
        <v>30</v>
      </c>
      <c r="I255" s="21" t="s">
        <v>28</v>
      </c>
      <c r="J255" s="16">
        <v>80</v>
      </c>
      <c r="K255" s="11">
        <f t="shared" si="55"/>
        <v>16</v>
      </c>
      <c r="L255" s="12"/>
    </row>
    <row r="256" s="4" customFormat="1" ht="24" spans="1:12">
      <c r="A256" s="11">
        <v>254</v>
      </c>
      <c r="B256" s="11" t="str">
        <f>"曾昀"</f>
        <v>曾昀</v>
      </c>
      <c r="C256" s="11" t="str">
        <f t="shared" si="57"/>
        <v>女</v>
      </c>
      <c r="D256" s="11" t="s">
        <v>269</v>
      </c>
      <c r="E256" s="11" t="s">
        <v>298</v>
      </c>
      <c r="F256" s="11" t="str">
        <f t="shared" si="54"/>
        <v>xerc20250114</v>
      </c>
      <c r="G256" s="12" t="s">
        <v>315</v>
      </c>
      <c r="H256" s="21" t="s">
        <v>30</v>
      </c>
      <c r="I256" s="21" t="s">
        <v>26</v>
      </c>
      <c r="J256" s="16" t="s">
        <v>42</v>
      </c>
      <c r="K256" s="11"/>
      <c r="L256" s="12"/>
    </row>
    <row r="257" s="4" customFormat="1" ht="24" spans="1:12">
      <c r="A257" s="11">
        <v>255</v>
      </c>
      <c r="B257" s="11" t="str">
        <f>"付泓霖"</f>
        <v>付泓霖</v>
      </c>
      <c r="C257" s="11" t="str">
        <f>"男"</f>
        <v>男</v>
      </c>
      <c r="D257" s="11" t="s">
        <v>269</v>
      </c>
      <c r="E257" s="11" t="s">
        <v>298</v>
      </c>
      <c r="F257" s="11" t="str">
        <f t="shared" si="54"/>
        <v>xerc20250114</v>
      </c>
      <c r="G257" s="12" t="s">
        <v>316</v>
      </c>
      <c r="H257" s="21" t="s">
        <v>30</v>
      </c>
      <c r="I257" s="21" t="s">
        <v>46</v>
      </c>
      <c r="J257" s="16" t="s">
        <v>42</v>
      </c>
      <c r="K257" s="11"/>
      <c r="L257" s="12"/>
    </row>
    <row r="258" s="4" customFormat="1" ht="24" spans="1:12">
      <c r="A258" s="11">
        <v>256</v>
      </c>
      <c r="B258" s="11" t="str">
        <f>"杨红"</f>
        <v>杨红</v>
      </c>
      <c r="C258" s="11" t="str">
        <f t="shared" si="57"/>
        <v>女</v>
      </c>
      <c r="D258" s="11" t="s">
        <v>269</v>
      </c>
      <c r="E258" s="11" t="s">
        <v>298</v>
      </c>
      <c r="F258" s="11" t="str">
        <f t="shared" si="54"/>
        <v>xerc20250114</v>
      </c>
      <c r="G258" s="12" t="s">
        <v>317</v>
      </c>
      <c r="H258" s="21" t="s">
        <v>30</v>
      </c>
      <c r="I258" s="21" t="s">
        <v>48</v>
      </c>
      <c r="J258" s="16" t="s">
        <v>42</v>
      </c>
      <c r="K258" s="11"/>
      <c r="L258" s="12"/>
    </row>
    <row r="259" s="4" customFormat="1" ht="24" spans="1:12">
      <c r="A259" s="11">
        <v>257</v>
      </c>
      <c r="B259" s="11" t="str">
        <f>"潘娅琴"</f>
        <v>潘娅琴</v>
      </c>
      <c r="C259" s="11" t="str">
        <f t="shared" si="57"/>
        <v>女</v>
      </c>
      <c r="D259" s="11" t="s">
        <v>269</v>
      </c>
      <c r="E259" s="11" t="s">
        <v>298</v>
      </c>
      <c r="F259" s="11" t="str">
        <f t="shared" si="54"/>
        <v>xerc20250114</v>
      </c>
      <c r="G259" s="12" t="s">
        <v>318</v>
      </c>
      <c r="H259" s="21" t="s">
        <v>30</v>
      </c>
      <c r="I259" s="21" t="s">
        <v>30</v>
      </c>
      <c r="J259" s="16" t="s">
        <v>42</v>
      </c>
      <c r="K259" s="11"/>
      <c r="L259" s="12"/>
    </row>
    <row r="260" s="4" customFormat="1" ht="24" spans="1:12">
      <c r="A260" s="11">
        <v>258</v>
      </c>
      <c r="B260" s="11" t="str">
        <f>"袁茂华"</f>
        <v>袁茂华</v>
      </c>
      <c r="C260" s="11" t="str">
        <f t="shared" si="57"/>
        <v>女</v>
      </c>
      <c r="D260" s="11" t="s">
        <v>269</v>
      </c>
      <c r="E260" s="11" t="s">
        <v>298</v>
      </c>
      <c r="F260" s="11" t="str">
        <f t="shared" si="54"/>
        <v>xerc20250114</v>
      </c>
      <c r="G260" s="12" t="s">
        <v>319</v>
      </c>
      <c r="H260" s="21" t="s">
        <v>30</v>
      </c>
      <c r="I260" s="21" t="s">
        <v>54</v>
      </c>
      <c r="J260" s="16" t="s">
        <v>42</v>
      </c>
      <c r="K260" s="11"/>
      <c r="L260" s="12"/>
    </row>
    <row r="261" s="4" customFormat="1" ht="24" spans="1:12">
      <c r="A261" s="11">
        <v>259</v>
      </c>
      <c r="B261" s="11" t="str">
        <f>"杨启华"</f>
        <v>杨启华</v>
      </c>
      <c r="C261" s="11" t="str">
        <f t="shared" ref="C261:C266" si="58">"男"</f>
        <v>男</v>
      </c>
      <c r="D261" s="11" t="s">
        <v>269</v>
      </c>
      <c r="E261" s="11" t="s">
        <v>298</v>
      </c>
      <c r="F261" s="11" t="str">
        <f t="shared" si="54"/>
        <v>xerc20250114</v>
      </c>
      <c r="G261" s="12" t="s">
        <v>320</v>
      </c>
      <c r="H261" s="21" t="s">
        <v>30</v>
      </c>
      <c r="I261" s="21" t="s">
        <v>16</v>
      </c>
      <c r="J261" s="16" t="s">
        <v>42</v>
      </c>
      <c r="K261" s="11"/>
      <c r="L261" s="12"/>
    </row>
    <row r="262" s="4" customFormat="1" ht="24" spans="1:12">
      <c r="A262" s="11">
        <v>260</v>
      </c>
      <c r="B262" s="11" t="str">
        <f>"侯小丽"</f>
        <v>侯小丽</v>
      </c>
      <c r="C262" s="11" t="str">
        <f t="shared" ref="C262:C265" si="59">"女"</f>
        <v>女</v>
      </c>
      <c r="D262" s="11" t="s">
        <v>269</v>
      </c>
      <c r="E262" s="11" t="s">
        <v>298</v>
      </c>
      <c r="F262" s="11" t="str">
        <f t="shared" si="54"/>
        <v>xerc20250114</v>
      </c>
      <c r="G262" s="12" t="s">
        <v>321</v>
      </c>
      <c r="H262" s="21" t="s">
        <v>30</v>
      </c>
      <c r="I262" s="21" t="s">
        <v>61</v>
      </c>
      <c r="J262" s="16" t="s">
        <v>42</v>
      </c>
      <c r="K262" s="11"/>
      <c r="L262" s="12"/>
    </row>
    <row r="263" s="4" customFormat="1" ht="24" spans="1:12">
      <c r="A263" s="11">
        <v>261</v>
      </c>
      <c r="B263" s="11" t="str">
        <f>"张威"</f>
        <v>张威</v>
      </c>
      <c r="C263" s="11" t="str">
        <f t="shared" si="58"/>
        <v>男</v>
      </c>
      <c r="D263" s="11" t="s">
        <v>269</v>
      </c>
      <c r="E263" s="11" t="s">
        <v>298</v>
      </c>
      <c r="F263" s="11" t="str">
        <f t="shared" si="54"/>
        <v>xerc20250114</v>
      </c>
      <c r="G263" s="12" t="s">
        <v>322</v>
      </c>
      <c r="H263" s="21" t="s">
        <v>30</v>
      </c>
      <c r="I263" s="21" t="s">
        <v>24</v>
      </c>
      <c r="J263" s="16" t="s">
        <v>42</v>
      </c>
      <c r="K263" s="11"/>
      <c r="L263" s="12"/>
    </row>
    <row r="264" s="4" customFormat="1" ht="24" spans="1:12">
      <c r="A264" s="11">
        <v>262</v>
      </c>
      <c r="B264" s="11" t="str">
        <f>"文婷"</f>
        <v>文婷</v>
      </c>
      <c r="C264" s="11" t="str">
        <f t="shared" si="59"/>
        <v>女</v>
      </c>
      <c r="D264" s="11" t="s">
        <v>269</v>
      </c>
      <c r="E264" s="11" t="s">
        <v>298</v>
      </c>
      <c r="F264" s="11" t="str">
        <f t="shared" si="54"/>
        <v>xerc20250114</v>
      </c>
      <c r="G264" s="12" t="s">
        <v>323</v>
      </c>
      <c r="H264" s="21" t="s">
        <v>30</v>
      </c>
      <c r="I264" s="21" t="s">
        <v>40</v>
      </c>
      <c r="J264" s="16" t="s">
        <v>42</v>
      </c>
      <c r="K264" s="11"/>
      <c r="L264" s="12"/>
    </row>
    <row r="265" s="4" customFormat="1" ht="24" spans="1:12">
      <c r="A265" s="11">
        <v>263</v>
      </c>
      <c r="B265" s="11" t="str">
        <f>"严冬嵬"</f>
        <v>严冬嵬</v>
      </c>
      <c r="C265" s="11" t="str">
        <f t="shared" si="59"/>
        <v>女</v>
      </c>
      <c r="D265" s="11" t="s">
        <v>269</v>
      </c>
      <c r="E265" s="11" t="s">
        <v>298</v>
      </c>
      <c r="F265" s="11" t="str">
        <f t="shared" si="54"/>
        <v>xerc20250114</v>
      </c>
      <c r="G265" s="12" t="s">
        <v>324</v>
      </c>
      <c r="H265" s="21" t="s">
        <v>30</v>
      </c>
      <c r="I265" s="21" t="s">
        <v>63</v>
      </c>
      <c r="J265" s="16" t="s">
        <v>42</v>
      </c>
      <c r="K265" s="11"/>
      <c r="L265" s="12"/>
    </row>
    <row r="266" s="4" customFormat="1" ht="24" spans="1:12">
      <c r="A266" s="11">
        <v>264</v>
      </c>
      <c r="B266" s="11" t="str">
        <f>"胡涛"</f>
        <v>胡涛</v>
      </c>
      <c r="C266" s="11" t="str">
        <f t="shared" si="58"/>
        <v>男</v>
      </c>
      <c r="D266" s="11" t="s">
        <v>269</v>
      </c>
      <c r="E266" s="11" t="s">
        <v>298</v>
      </c>
      <c r="F266" s="11" t="str">
        <f t="shared" si="54"/>
        <v>xerc20250114</v>
      </c>
      <c r="G266" s="12" t="s">
        <v>325</v>
      </c>
      <c r="H266" s="21" t="s">
        <v>30</v>
      </c>
      <c r="I266" s="21" t="s">
        <v>32</v>
      </c>
      <c r="J266" s="16" t="s">
        <v>42</v>
      </c>
      <c r="K266" s="11"/>
      <c r="L266" s="12"/>
    </row>
    <row r="267" s="4" customFormat="1" ht="24" spans="1:12">
      <c r="A267" s="11">
        <v>265</v>
      </c>
      <c r="B267" s="11" t="str">
        <f>"何铭"</f>
        <v>何铭</v>
      </c>
      <c r="C267" s="11" t="str">
        <f t="shared" ref="C267:C274" si="60">"女"</f>
        <v>女</v>
      </c>
      <c r="D267" s="11" t="s">
        <v>269</v>
      </c>
      <c r="E267" s="11" t="s">
        <v>298</v>
      </c>
      <c r="F267" s="11" t="str">
        <f t="shared" si="54"/>
        <v>xerc20250114</v>
      </c>
      <c r="G267" s="12" t="s">
        <v>326</v>
      </c>
      <c r="H267" s="21" t="s">
        <v>30</v>
      </c>
      <c r="I267" s="21" t="s">
        <v>34</v>
      </c>
      <c r="J267" s="16" t="s">
        <v>42</v>
      </c>
      <c r="K267" s="11"/>
      <c r="L267" s="12"/>
    </row>
    <row r="268" s="4" customFormat="1" ht="24" spans="1:12">
      <c r="A268" s="11">
        <v>266</v>
      </c>
      <c r="B268" s="11" t="str">
        <f>"牟群瑶"</f>
        <v>牟群瑶</v>
      </c>
      <c r="C268" s="11" t="str">
        <f t="shared" si="60"/>
        <v>女</v>
      </c>
      <c r="D268" s="11" t="s">
        <v>269</v>
      </c>
      <c r="E268" s="11" t="s">
        <v>298</v>
      </c>
      <c r="F268" s="11" t="str">
        <f t="shared" si="54"/>
        <v>xerc20250114</v>
      </c>
      <c r="G268" s="12" t="s">
        <v>327</v>
      </c>
      <c r="H268" s="21" t="s">
        <v>30</v>
      </c>
      <c r="I268" s="21" t="s">
        <v>67</v>
      </c>
      <c r="J268" s="16" t="s">
        <v>42</v>
      </c>
      <c r="K268" s="11"/>
      <c r="L268" s="12"/>
    </row>
    <row r="269" s="4" customFormat="1" ht="24" spans="1:12">
      <c r="A269" s="11">
        <v>267</v>
      </c>
      <c r="B269" s="11" t="str">
        <f>"柯宇"</f>
        <v>柯宇</v>
      </c>
      <c r="C269" s="11" t="str">
        <f>"男"</f>
        <v>男</v>
      </c>
      <c r="D269" s="11" t="s">
        <v>269</v>
      </c>
      <c r="E269" s="11" t="s">
        <v>298</v>
      </c>
      <c r="F269" s="11" t="str">
        <f t="shared" si="54"/>
        <v>xerc20250114</v>
      </c>
      <c r="G269" s="12" t="s">
        <v>328</v>
      </c>
      <c r="H269" s="21" t="s">
        <v>30</v>
      </c>
      <c r="I269" s="21" t="s">
        <v>38</v>
      </c>
      <c r="J269" s="16" t="s">
        <v>42</v>
      </c>
      <c r="K269" s="11"/>
      <c r="L269" s="12"/>
    </row>
    <row r="270" s="4" customFormat="1" ht="24" spans="1:12">
      <c r="A270" s="11">
        <v>268</v>
      </c>
      <c r="B270" s="11" t="str">
        <f>"郑搏强"</f>
        <v>郑搏强</v>
      </c>
      <c r="C270" s="11" t="str">
        <f>"男"</f>
        <v>男</v>
      </c>
      <c r="D270" s="11" t="s">
        <v>269</v>
      </c>
      <c r="E270" s="11" t="s">
        <v>298</v>
      </c>
      <c r="F270" s="11" t="str">
        <f t="shared" si="54"/>
        <v>xerc20250114</v>
      </c>
      <c r="G270" s="12" t="s">
        <v>329</v>
      </c>
      <c r="H270" s="21" t="s">
        <v>30</v>
      </c>
      <c r="I270" s="21" t="s">
        <v>20</v>
      </c>
      <c r="J270" s="16" t="s">
        <v>42</v>
      </c>
      <c r="K270" s="11"/>
      <c r="L270" s="12"/>
    </row>
    <row r="271" s="4" customFormat="1" ht="24" spans="1:12">
      <c r="A271" s="11">
        <v>269</v>
      </c>
      <c r="B271" s="11" t="str">
        <f>"徐琼"</f>
        <v>徐琼</v>
      </c>
      <c r="C271" s="11" t="str">
        <f t="shared" si="60"/>
        <v>女</v>
      </c>
      <c r="D271" s="11" t="s">
        <v>269</v>
      </c>
      <c r="E271" s="11" t="s">
        <v>298</v>
      </c>
      <c r="F271" s="11" t="str">
        <f t="shared" si="54"/>
        <v>xerc20250114</v>
      </c>
      <c r="G271" s="12" t="s">
        <v>330</v>
      </c>
      <c r="H271" s="21" t="s">
        <v>30</v>
      </c>
      <c r="I271" s="21" t="s">
        <v>71</v>
      </c>
      <c r="J271" s="16" t="s">
        <v>42</v>
      </c>
      <c r="K271" s="11"/>
      <c r="L271" s="12"/>
    </row>
    <row r="272" s="4" customFormat="1" ht="24" spans="1:12">
      <c r="A272" s="11">
        <v>270</v>
      </c>
      <c r="B272" s="11" t="str">
        <f>"代睿"</f>
        <v>代睿</v>
      </c>
      <c r="C272" s="11" t="str">
        <f t="shared" si="60"/>
        <v>女</v>
      </c>
      <c r="D272" s="11" t="s">
        <v>269</v>
      </c>
      <c r="E272" s="11" t="s">
        <v>298</v>
      </c>
      <c r="F272" s="11" t="str">
        <f t="shared" si="54"/>
        <v>xerc20250114</v>
      </c>
      <c r="G272" s="12" t="s">
        <v>331</v>
      </c>
      <c r="H272" s="21" t="s">
        <v>16</v>
      </c>
      <c r="I272" s="21" t="s">
        <v>46</v>
      </c>
      <c r="J272" s="16" t="s">
        <v>42</v>
      </c>
      <c r="K272" s="11"/>
      <c r="L272" s="12"/>
    </row>
    <row r="273" s="4" customFormat="1" ht="24" spans="1:12">
      <c r="A273" s="11">
        <v>271</v>
      </c>
      <c r="B273" s="11" t="str">
        <f>"向慧"</f>
        <v>向慧</v>
      </c>
      <c r="C273" s="11" t="str">
        <f t="shared" si="60"/>
        <v>女</v>
      </c>
      <c r="D273" s="11" t="s">
        <v>269</v>
      </c>
      <c r="E273" s="11" t="s">
        <v>298</v>
      </c>
      <c r="F273" s="11" t="str">
        <f t="shared" si="54"/>
        <v>xerc20250114</v>
      </c>
      <c r="G273" s="12" t="s">
        <v>332</v>
      </c>
      <c r="H273" s="21" t="s">
        <v>16</v>
      </c>
      <c r="I273" s="21" t="s">
        <v>52</v>
      </c>
      <c r="J273" s="16" t="s">
        <v>42</v>
      </c>
      <c r="K273" s="11"/>
      <c r="L273" s="12"/>
    </row>
    <row r="274" s="4" customFormat="1" ht="24" spans="1:12">
      <c r="A274" s="11">
        <v>272</v>
      </c>
      <c r="B274" s="11" t="str">
        <f>"向妮华"</f>
        <v>向妮华</v>
      </c>
      <c r="C274" s="11" t="str">
        <f t="shared" si="60"/>
        <v>女</v>
      </c>
      <c r="D274" s="11" t="s">
        <v>269</v>
      </c>
      <c r="E274" s="11" t="s">
        <v>298</v>
      </c>
      <c r="F274" s="11" t="str">
        <f t="shared" si="54"/>
        <v>xerc20250114</v>
      </c>
      <c r="G274" s="12" t="s">
        <v>333</v>
      </c>
      <c r="H274" s="21" t="s">
        <v>16</v>
      </c>
      <c r="I274" s="21" t="s">
        <v>54</v>
      </c>
      <c r="J274" s="16" t="s">
        <v>42</v>
      </c>
      <c r="K274" s="11"/>
      <c r="L274" s="12"/>
    </row>
    <row r="275" s="4" customFormat="1" ht="24" spans="1:12">
      <c r="A275" s="11">
        <v>273</v>
      </c>
      <c r="B275" s="11" t="str">
        <f>"冉晨翀"</f>
        <v>冉晨翀</v>
      </c>
      <c r="C275" s="11" t="str">
        <f>"男"</f>
        <v>男</v>
      </c>
      <c r="D275" s="11" t="s">
        <v>269</v>
      </c>
      <c r="E275" s="11" t="s">
        <v>298</v>
      </c>
      <c r="F275" s="11" t="str">
        <f t="shared" si="54"/>
        <v>xerc20250114</v>
      </c>
      <c r="G275" s="12" t="s">
        <v>334</v>
      </c>
      <c r="H275" s="21" t="s">
        <v>16</v>
      </c>
      <c r="I275" s="21" t="s">
        <v>56</v>
      </c>
      <c r="J275" s="16" t="s">
        <v>42</v>
      </c>
      <c r="K275" s="11"/>
      <c r="L275" s="12"/>
    </row>
    <row r="276" s="4" customFormat="1" ht="24" spans="1:12">
      <c r="A276" s="11">
        <v>274</v>
      </c>
      <c r="B276" s="11" t="str">
        <f>"饶秋韵"</f>
        <v>饶秋韵</v>
      </c>
      <c r="C276" s="11" t="str">
        <f t="shared" ref="C276:C279" si="61">"女"</f>
        <v>女</v>
      </c>
      <c r="D276" s="11" t="s">
        <v>269</v>
      </c>
      <c r="E276" s="11" t="s">
        <v>298</v>
      </c>
      <c r="F276" s="11" t="str">
        <f t="shared" si="54"/>
        <v>xerc20250114</v>
      </c>
      <c r="G276" s="12" t="s">
        <v>335</v>
      </c>
      <c r="H276" s="21" t="s">
        <v>16</v>
      </c>
      <c r="I276" s="21" t="s">
        <v>59</v>
      </c>
      <c r="J276" s="16" t="s">
        <v>42</v>
      </c>
      <c r="K276" s="11"/>
      <c r="L276" s="12"/>
    </row>
    <row r="277" s="4" customFormat="1" ht="24" spans="1:12">
      <c r="A277" s="11">
        <v>275</v>
      </c>
      <c r="B277" s="11" t="str">
        <f>"夏苏敬"</f>
        <v>夏苏敬</v>
      </c>
      <c r="C277" s="11" t="str">
        <f t="shared" si="61"/>
        <v>女</v>
      </c>
      <c r="D277" s="11" t="s">
        <v>336</v>
      </c>
      <c r="E277" s="11" t="s">
        <v>337</v>
      </c>
      <c r="F277" s="11" t="str">
        <f t="shared" ref="F277:F307" si="62">"xerc20250115"</f>
        <v>xerc20250115</v>
      </c>
      <c r="G277" s="12" t="s">
        <v>338</v>
      </c>
      <c r="H277" s="21" t="s">
        <v>54</v>
      </c>
      <c r="I277" s="21" t="s">
        <v>52</v>
      </c>
      <c r="J277" s="16">
        <v>86</v>
      </c>
      <c r="K277" s="17">
        <f t="shared" ref="K277:K289" si="63">RANK(J277,$J$277:$J$307)</f>
        <v>1</v>
      </c>
      <c r="L277" s="10" t="s">
        <v>18</v>
      </c>
    </row>
    <row r="278" s="4" customFormat="1" ht="24" spans="1:12">
      <c r="A278" s="11">
        <v>276</v>
      </c>
      <c r="B278" s="11" t="str">
        <f>"陈宇"</f>
        <v>陈宇</v>
      </c>
      <c r="C278" s="11" t="str">
        <f t="shared" si="61"/>
        <v>女</v>
      </c>
      <c r="D278" s="11" t="s">
        <v>336</v>
      </c>
      <c r="E278" s="11" t="s">
        <v>337</v>
      </c>
      <c r="F278" s="11" t="str">
        <f t="shared" si="62"/>
        <v>xerc20250115</v>
      </c>
      <c r="G278" s="12" t="s">
        <v>339</v>
      </c>
      <c r="H278" s="21" t="s">
        <v>54</v>
      </c>
      <c r="I278" s="21" t="s">
        <v>17</v>
      </c>
      <c r="J278" s="16">
        <v>72</v>
      </c>
      <c r="K278" s="17">
        <f t="shared" si="63"/>
        <v>2</v>
      </c>
      <c r="L278" s="10" t="s">
        <v>18</v>
      </c>
    </row>
    <row r="279" s="4" customFormat="1" ht="24" spans="1:12">
      <c r="A279" s="11">
        <v>277</v>
      </c>
      <c r="B279" s="11" t="str">
        <f>"周仁迪"</f>
        <v>周仁迪</v>
      </c>
      <c r="C279" s="11" t="str">
        <f t="shared" si="61"/>
        <v>女</v>
      </c>
      <c r="D279" s="11" t="s">
        <v>336</v>
      </c>
      <c r="E279" s="11" t="s">
        <v>337</v>
      </c>
      <c r="F279" s="11" t="str">
        <f t="shared" si="62"/>
        <v>xerc20250115</v>
      </c>
      <c r="G279" s="12" t="s">
        <v>340</v>
      </c>
      <c r="H279" s="21" t="s">
        <v>54</v>
      </c>
      <c r="I279" s="21" t="s">
        <v>56</v>
      </c>
      <c r="J279" s="16">
        <v>72</v>
      </c>
      <c r="K279" s="17">
        <f t="shared" si="63"/>
        <v>2</v>
      </c>
      <c r="L279" s="10" t="s">
        <v>18</v>
      </c>
    </row>
    <row r="280" s="4" customFormat="1" ht="24" spans="1:12">
      <c r="A280" s="11">
        <v>278</v>
      </c>
      <c r="B280" s="11" t="str">
        <f>"吴俊"</f>
        <v>吴俊</v>
      </c>
      <c r="C280" s="11" t="str">
        <f t="shared" ref="C280:C284" si="64">"男"</f>
        <v>男</v>
      </c>
      <c r="D280" s="11" t="s">
        <v>336</v>
      </c>
      <c r="E280" s="11" t="s">
        <v>337</v>
      </c>
      <c r="F280" s="11" t="str">
        <f t="shared" si="62"/>
        <v>xerc20250115</v>
      </c>
      <c r="G280" s="12" t="s">
        <v>341</v>
      </c>
      <c r="H280" s="21" t="s">
        <v>54</v>
      </c>
      <c r="I280" s="21" t="s">
        <v>28</v>
      </c>
      <c r="J280" s="16">
        <v>71</v>
      </c>
      <c r="K280" s="11">
        <f t="shared" si="63"/>
        <v>4</v>
      </c>
      <c r="L280" s="12"/>
    </row>
    <row r="281" s="4" customFormat="1" ht="24" spans="1:12">
      <c r="A281" s="11">
        <v>279</v>
      </c>
      <c r="B281" s="11" t="str">
        <f>"邹召军"</f>
        <v>邹召军</v>
      </c>
      <c r="C281" s="11" t="str">
        <f t="shared" si="64"/>
        <v>男</v>
      </c>
      <c r="D281" s="11" t="s">
        <v>336</v>
      </c>
      <c r="E281" s="11" t="s">
        <v>337</v>
      </c>
      <c r="F281" s="11" t="str">
        <f t="shared" si="62"/>
        <v>xerc20250115</v>
      </c>
      <c r="G281" s="12" t="s">
        <v>342</v>
      </c>
      <c r="H281" s="21" t="s">
        <v>16</v>
      </c>
      <c r="I281" s="21" t="s">
        <v>61</v>
      </c>
      <c r="J281" s="16">
        <v>66</v>
      </c>
      <c r="K281" s="11">
        <f t="shared" si="63"/>
        <v>5</v>
      </c>
      <c r="L281" s="12"/>
    </row>
    <row r="282" s="4" customFormat="1" ht="24" spans="1:12">
      <c r="A282" s="11">
        <v>280</v>
      </c>
      <c r="B282" s="11" t="str">
        <f>"陈彬睿"</f>
        <v>陈彬睿</v>
      </c>
      <c r="C282" s="11" t="str">
        <f t="shared" ref="C282:C291" si="65">"女"</f>
        <v>女</v>
      </c>
      <c r="D282" s="11" t="s">
        <v>336</v>
      </c>
      <c r="E282" s="11" t="s">
        <v>337</v>
      </c>
      <c r="F282" s="11" t="str">
        <f t="shared" si="62"/>
        <v>xerc20250115</v>
      </c>
      <c r="G282" s="12" t="s">
        <v>343</v>
      </c>
      <c r="H282" s="21" t="s">
        <v>54</v>
      </c>
      <c r="I282" s="21" t="s">
        <v>40</v>
      </c>
      <c r="J282" s="16">
        <v>65</v>
      </c>
      <c r="K282" s="11">
        <f t="shared" si="63"/>
        <v>6</v>
      </c>
      <c r="L282" s="12"/>
    </row>
    <row r="283" s="4" customFormat="1" ht="24" spans="1:12">
      <c r="A283" s="11">
        <v>281</v>
      </c>
      <c r="B283" s="11" t="str">
        <f>"黄亚玲"</f>
        <v>黄亚玲</v>
      </c>
      <c r="C283" s="11" t="str">
        <f t="shared" si="65"/>
        <v>女</v>
      </c>
      <c r="D283" s="11" t="s">
        <v>336</v>
      </c>
      <c r="E283" s="11" t="s">
        <v>337</v>
      </c>
      <c r="F283" s="11" t="str">
        <f t="shared" si="62"/>
        <v>xerc20250115</v>
      </c>
      <c r="G283" s="12" t="s">
        <v>344</v>
      </c>
      <c r="H283" s="21" t="s">
        <v>54</v>
      </c>
      <c r="I283" s="21" t="s">
        <v>16</v>
      </c>
      <c r="J283" s="16">
        <v>64</v>
      </c>
      <c r="K283" s="11">
        <f t="shared" si="63"/>
        <v>7</v>
      </c>
      <c r="L283" s="12"/>
    </row>
    <row r="284" s="4" customFormat="1" ht="24" spans="1:12">
      <c r="A284" s="11">
        <v>282</v>
      </c>
      <c r="B284" s="11" t="str">
        <f>"邢高山"</f>
        <v>邢高山</v>
      </c>
      <c r="C284" s="11" t="str">
        <f t="shared" si="64"/>
        <v>男</v>
      </c>
      <c r="D284" s="11" t="s">
        <v>336</v>
      </c>
      <c r="E284" s="11" t="s">
        <v>337</v>
      </c>
      <c r="F284" s="11" t="str">
        <f t="shared" si="62"/>
        <v>xerc20250115</v>
      </c>
      <c r="G284" s="12" t="s">
        <v>345</v>
      </c>
      <c r="H284" s="21" t="s">
        <v>54</v>
      </c>
      <c r="I284" s="21" t="s">
        <v>30</v>
      </c>
      <c r="J284" s="16">
        <v>57</v>
      </c>
      <c r="K284" s="11">
        <f t="shared" si="63"/>
        <v>8</v>
      </c>
      <c r="L284" s="12"/>
    </row>
    <row r="285" s="4" customFormat="1" ht="24" spans="1:12">
      <c r="A285" s="11">
        <v>283</v>
      </c>
      <c r="B285" s="11" t="str">
        <f>"黄洪"</f>
        <v>黄洪</v>
      </c>
      <c r="C285" s="11" t="str">
        <f t="shared" si="65"/>
        <v>女</v>
      </c>
      <c r="D285" s="11" t="s">
        <v>336</v>
      </c>
      <c r="E285" s="11" t="s">
        <v>337</v>
      </c>
      <c r="F285" s="11" t="str">
        <f t="shared" si="62"/>
        <v>xerc20250115</v>
      </c>
      <c r="G285" s="12" t="s">
        <v>346</v>
      </c>
      <c r="H285" s="21" t="s">
        <v>54</v>
      </c>
      <c r="I285" s="21" t="s">
        <v>34</v>
      </c>
      <c r="J285" s="16">
        <v>56</v>
      </c>
      <c r="K285" s="11">
        <f t="shared" si="63"/>
        <v>9</v>
      </c>
      <c r="L285" s="12"/>
    </row>
    <row r="286" s="4" customFormat="1" ht="24" spans="1:12">
      <c r="A286" s="11">
        <v>284</v>
      </c>
      <c r="B286" s="11" t="str">
        <f>"吴倩"</f>
        <v>吴倩</v>
      </c>
      <c r="C286" s="11" t="str">
        <f t="shared" si="65"/>
        <v>女</v>
      </c>
      <c r="D286" s="11" t="s">
        <v>336</v>
      </c>
      <c r="E286" s="11" t="s">
        <v>337</v>
      </c>
      <c r="F286" s="11" t="str">
        <f t="shared" si="62"/>
        <v>xerc20250115</v>
      </c>
      <c r="G286" s="12" t="s">
        <v>347</v>
      </c>
      <c r="H286" s="21" t="s">
        <v>54</v>
      </c>
      <c r="I286" s="21" t="s">
        <v>65</v>
      </c>
      <c r="J286" s="16">
        <v>56</v>
      </c>
      <c r="K286" s="11">
        <f t="shared" si="63"/>
        <v>9</v>
      </c>
      <c r="L286" s="12"/>
    </row>
    <row r="287" s="4" customFormat="1" ht="24" spans="1:12">
      <c r="A287" s="11">
        <v>285</v>
      </c>
      <c r="B287" s="11" t="str">
        <f>"肖鸿宇"</f>
        <v>肖鸿宇</v>
      </c>
      <c r="C287" s="11" t="str">
        <f t="shared" si="65"/>
        <v>女</v>
      </c>
      <c r="D287" s="11" t="s">
        <v>336</v>
      </c>
      <c r="E287" s="11" t="s">
        <v>337</v>
      </c>
      <c r="F287" s="11" t="str">
        <f t="shared" si="62"/>
        <v>xerc20250115</v>
      </c>
      <c r="G287" s="12" t="s">
        <v>348</v>
      </c>
      <c r="H287" s="21" t="s">
        <v>54</v>
      </c>
      <c r="I287" s="21" t="s">
        <v>48</v>
      </c>
      <c r="J287" s="16">
        <v>53</v>
      </c>
      <c r="K287" s="11">
        <f t="shared" si="63"/>
        <v>11</v>
      </c>
      <c r="L287" s="12"/>
    </row>
    <row r="288" s="4" customFormat="1" ht="24" spans="1:12">
      <c r="A288" s="11">
        <v>286</v>
      </c>
      <c r="B288" s="11" t="str">
        <f>"田晓睿"</f>
        <v>田晓睿</v>
      </c>
      <c r="C288" s="11" t="str">
        <f t="shared" si="65"/>
        <v>女</v>
      </c>
      <c r="D288" s="11" t="s">
        <v>336</v>
      </c>
      <c r="E288" s="11" t="s">
        <v>337</v>
      </c>
      <c r="F288" s="11" t="str">
        <f t="shared" si="62"/>
        <v>xerc20250115</v>
      </c>
      <c r="G288" s="12" t="s">
        <v>349</v>
      </c>
      <c r="H288" s="21" t="s">
        <v>54</v>
      </c>
      <c r="I288" s="21" t="s">
        <v>54</v>
      </c>
      <c r="J288" s="16">
        <v>37</v>
      </c>
      <c r="K288" s="11">
        <f t="shared" si="63"/>
        <v>12</v>
      </c>
      <c r="L288" s="12"/>
    </row>
    <row r="289" s="4" customFormat="1" ht="24" spans="1:12">
      <c r="A289" s="11">
        <v>287</v>
      </c>
      <c r="B289" s="11" t="str">
        <f>"谭海玲"</f>
        <v>谭海玲</v>
      </c>
      <c r="C289" s="11" t="str">
        <f t="shared" si="65"/>
        <v>女</v>
      </c>
      <c r="D289" s="11" t="s">
        <v>336</v>
      </c>
      <c r="E289" s="11" t="s">
        <v>337</v>
      </c>
      <c r="F289" s="11" t="str">
        <f t="shared" si="62"/>
        <v>xerc20250115</v>
      </c>
      <c r="G289" s="12" t="s">
        <v>350</v>
      </c>
      <c r="H289" s="21" t="s">
        <v>54</v>
      </c>
      <c r="I289" s="21" t="s">
        <v>63</v>
      </c>
      <c r="J289" s="16">
        <v>36</v>
      </c>
      <c r="K289" s="11">
        <f t="shared" si="63"/>
        <v>13</v>
      </c>
      <c r="L289" s="12"/>
    </row>
    <row r="290" s="4" customFormat="1" ht="24" spans="1:12">
      <c r="A290" s="11">
        <v>288</v>
      </c>
      <c r="B290" s="11" t="str">
        <f>"陈小米"</f>
        <v>陈小米</v>
      </c>
      <c r="C290" s="11" t="str">
        <f t="shared" si="65"/>
        <v>女</v>
      </c>
      <c r="D290" s="11" t="s">
        <v>336</v>
      </c>
      <c r="E290" s="11" t="s">
        <v>337</v>
      </c>
      <c r="F290" s="11" t="str">
        <f t="shared" si="62"/>
        <v>xerc20250115</v>
      </c>
      <c r="G290" s="12" t="s">
        <v>351</v>
      </c>
      <c r="H290" s="21" t="s">
        <v>54</v>
      </c>
      <c r="I290" s="21" t="s">
        <v>26</v>
      </c>
      <c r="J290" s="16" t="s">
        <v>42</v>
      </c>
      <c r="K290" s="11"/>
      <c r="L290" s="12"/>
    </row>
    <row r="291" s="4" customFormat="1" ht="24" spans="1:12">
      <c r="A291" s="11">
        <v>289</v>
      </c>
      <c r="B291" s="11" t="str">
        <f>"王庆"</f>
        <v>王庆</v>
      </c>
      <c r="C291" s="11" t="str">
        <f t="shared" si="65"/>
        <v>女</v>
      </c>
      <c r="D291" s="11" t="s">
        <v>336</v>
      </c>
      <c r="E291" s="11" t="s">
        <v>337</v>
      </c>
      <c r="F291" s="11" t="str">
        <f t="shared" si="62"/>
        <v>xerc20250115</v>
      </c>
      <c r="G291" s="12" t="s">
        <v>352</v>
      </c>
      <c r="H291" s="21" t="s">
        <v>54</v>
      </c>
      <c r="I291" s="21" t="s">
        <v>44</v>
      </c>
      <c r="J291" s="16" t="s">
        <v>42</v>
      </c>
      <c r="K291" s="11"/>
      <c r="L291" s="12"/>
    </row>
    <row r="292" s="4" customFormat="1" ht="24" spans="1:12">
      <c r="A292" s="11">
        <v>290</v>
      </c>
      <c r="B292" s="11" t="str">
        <f>"杨俊武"</f>
        <v>杨俊武</v>
      </c>
      <c r="C292" s="11" t="str">
        <f>"男"</f>
        <v>男</v>
      </c>
      <c r="D292" s="11" t="s">
        <v>336</v>
      </c>
      <c r="E292" s="11" t="s">
        <v>337</v>
      </c>
      <c r="F292" s="11" t="str">
        <f t="shared" si="62"/>
        <v>xerc20250115</v>
      </c>
      <c r="G292" s="12" t="s">
        <v>353</v>
      </c>
      <c r="H292" s="21" t="s">
        <v>54</v>
      </c>
      <c r="I292" s="21" t="s">
        <v>46</v>
      </c>
      <c r="J292" s="16" t="s">
        <v>42</v>
      </c>
      <c r="K292" s="11"/>
      <c r="L292" s="12"/>
    </row>
    <row r="293" s="4" customFormat="1" ht="24" spans="1:12">
      <c r="A293" s="11">
        <v>291</v>
      </c>
      <c r="B293" s="11" t="str">
        <f>"宋文武"</f>
        <v>宋文武</v>
      </c>
      <c r="C293" s="11" t="str">
        <f>"男"</f>
        <v>男</v>
      </c>
      <c r="D293" s="11" t="s">
        <v>336</v>
      </c>
      <c r="E293" s="11" t="s">
        <v>337</v>
      </c>
      <c r="F293" s="11" t="str">
        <f t="shared" si="62"/>
        <v>xerc20250115</v>
      </c>
      <c r="G293" s="12" t="s">
        <v>354</v>
      </c>
      <c r="H293" s="21" t="s">
        <v>54</v>
      </c>
      <c r="I293" s="21" t="s">
        <v>50</v>
      </c>
      <c r="J293" s="16" t="s">
        <v>42</v>
      </c>
      <c r="K293" s="11"/>
      <c r="L293" s="12"/>
    </row>
    <row r="294" s="4" customFormat="1" ht="24" spans="1:12">
      <c r="A294" s="11">
        <v>292</v>
      </c>
      <c r="B294" s="11" t="str">
        <f>"陈鑫"</f>
        <v>陈鑫</v>
      </c>
      <c r="C294" s="11" t="str">
        <f t="shared" ref="C294:C303" si="66">"女"</f>
        <v>女</v>
      </c>
      <c r="D294" s="11" t="s">
        <v>336</v>
      </c>
      <c r="E294" s="11" t="s">
        <v>337</v>
      </c>
      <c r="F294" s="11" t="str">
        <f t="shared" si="62"/>
        <v>xerc20250115</v>
      </c>
      <c r="G294" s="12" t="s">
        <v>355</v>
      </c>
      <c r="H294" s="21" t="s">
        <v>54</v>
      </c>
      <c r="I294" s="21" t="s">
        <v>59</v>
      </c>
      <c r="J294" s="16" t="s">
        <v>42</v>
      </c>
      <c r="K294" s="11"/>
      <c r="L294" s="12"/>
    </row>
    <row r="295" s="4" customFormat="1" ht="24" spans="1:12">
      <c r="A295" s="11">
        <v>293</v>
      </c>
      <c r="B295" s="11" t="str">
        <f>"邓小倩"</f>
        <v>邓小倩</v>
      </c>
      <c r="C295" s="11" t="str">
        <f t="shared" si="66"/>
        <v>女</v>
      </c>
      <c r="D295" s="11" t="s">
        <v>336</v>
      </c>
      <c r="E295" s="11" t="s">
        <v>337</v>
      </c>
      <c r="F295" s="11" t="str">
        <f t="shared" si="62"/>
        <v>xerc20250115</v>
      </c>
      <c r="G295" s="12" t="s">
        <v>356</v>
      </c>
      <c r="H295" s="21" t="s">
        <v>54</v>
      </c>
      <c r="I295" s="21" t="s">
        <v>61</v>
      </c>
      <c r="J295" s="16" t="s">
        <v>42</v>
      </c>
      <c r="K295" s="11"/>
      <c r="L295" s="12"/>
    </row>
    <row r="296" s="4" customFormat="1" ht="24" spans="1:12">
      <c r="A296" s="11">
        <v>294</v>
      </c>
      <c r="B296" s="11" t="str">
        <f>"杨慧敏"</f>
        <v>杨慧敏</v>
      </c>
      <c r="C296" s="11" t="str">
        <f t="shared" si="66"/>
        <v>女</v>
      </c>
      <c r="D296" s="11" t="s">
        <v>336</v>
      </c>
      <c r="E296" s="11" t="s">
        <v>337</v>
      </c>
      <c r="F296" s="11" t="str">
        <f t="shared" si="62"/>
        <v>xerc20250115</v>
      </c>
      <c r="G296" s="12" t="s">
        <v>357</v>
      </c>
      <c r="H296" s="21" t="s">
        <v>54</v>
      </c>
      <c r="I296" s="21" t="s">
        <v>24</v>
      </c>
      <c r="J296" s="16" t="s">
        <v>42</v>
      </c>
      <c r="K296" s="11"/>
      <c r="L296" s="12"/>
    </row>
    <row r="297" s="4" customFormat="1" ht="24" spans="1:12">
      <c r="A297" s="11">
        <v>295</v>
      </c>
      <c r="B297" s="11" t="str">
        <f>"汪炜檬"</f>
        <v>汪炜檬</v>
      </c>
      <c r="C297" s="11" t="str">
        <f t="shared" si="66"/>
        <v>女</v>
      </c>
      <c r="D297" s="11" t="s">
        <v>336</v>
      </c>
      <c r="E297" s="11" t="s">
        <v>337</v>
      </c>
      <c r="F297" s="11" t="str">
        <f t="shared" si="62"/>
        <v>xerc20250115</v>
      </c>
      <c r="G297" s="12" t="s">
        <v>358</v>
      </c>
      <c r="H297" s="21" t="s">
        <v>54</v>
      </c>
      <c r="I297" s="21" t="s">
        <v>32</v>
      </c>
      <c r="J297" s="16" t="s">
        <v>42</v>
      </c>
      <c r="K297" s="11"/>
      <c r="L297" s="12"/>
    </row>
    <row r="298" s="4" customFormat="1" ht="24" spans="1:12">
      <c r="A298" s="11">
        <v>296</v>
      </c>
      <c r="B298" s="11" t="str">
        <f>"杨航"</f>
        <v>杨航</v>
      </c>
      <c r="C298" s="11" t="str">
        <f t="shared" si="66"/>
        <v>女</v>
      </c>
      <c r="D298" s="11" t="s">
        <v>336</v>
      </c>
      <c r="E298" s="11" t="s">
        <v>337</v>
      </c>
      <c r="F298" s="11" t="str">
        <f t="shared" si="62"/>
        <v>xerc20250115</v>
      </c>
      <c r="G298" s="12" t="s">
        <v>359</v>
      </c>
      <c r="H298" s="21" t="s">
        <v>54</v>
      </c>
      <c r="I298" s="21" t="s">
        <v>67</v>
      </c>
      <c r="J298" s="16" t="s">
        <v>42</v>
      </c>
      <c r="K298" s="11"/>
      <c r="L298" s="12"/>
    </row>
    <row r="299" s="4" customFormat="1" ht="24" spans="1:12">
      <c r="A299" s="11">
        <v>297</v>
      </c>
      <c r="B299" s="11" t="str">
        <f>"张红梅"</f>
        <v>张红梅</v>
      </c>
      <c r="C299" s="11" t="str">
        <f t="shared" si="66"/>
        <v>女</v>
      </c>
      <c r="D299" s="11" t="s">
        <v>336</v>
      </c>
      <c r="E299" s="11" t="s">
        <v>337</v>
      </c>
      <c r="F299" s="11" t="str">
        <f t="shared" si="62"/>
        <v>xerc20250115</v>
      </c>
      <c r="G299" s="12" t="s">
        <v>360</v>
      </c>
      <c r="H299" s="21" t="s">
        <v>54</v>
      </c>
      <c r="I299" s="21" t="s">
        <v>36</v>
      </c>
      <c r="J299" s="16" t="s">
        <v>42</v>
      </c>
      <c r="K299" s="11"/>
      <c r="L299" s="12"/>
    </row>
    <row r="300" s="4" customFormat="1" ht="24" spans="1:12">
      <c r="A300" s="11">
        <v>298</v>
      </c>
      <c r="B300" s="11" t="str">
        <f>"王庆灵"</f>
        <v>王庆灵</v>
      </c>
      <c r="C300" s="11" t="str">
        <f t="shared" si="66"/>
        <v>女</v>
      </c>
      <c r="D300" s="11" t="s">
        <v>336</v>
      </c>
      <c r="E300" s="11" t="s">
        <v>337</v>
      </c>
      <c r="F300" s="11" t="str">
        <f t="shared" si="62"/>
        <v>xerc20250115</v>
      </c>
      <c r="G300" s="12" t="s">
        <v>361</v>
      </c>
      <c r="H300" s="21" t="s">
        <v>54</v>
      </c>
      <c r="I300" s="21" t="s">
        <v>38</v>
      </c>
      <c r="J300" s="16" t="s">
        <v>42</v>
      </c>
      <c r="K300" s="11"/>
      <c r="L300" s="12"/>
    </row>
    <row r="301" s="4" customFormat="1" ht="24" spans="1:12">
      <c r="A301" s="11">
        <v>299</v>
      </c>
      <c r="B301" s="11" t="str">
        <f>"叶明燕"</f>
        <v>叶明燕</v>
      </c>
      <c r="C301" s="11" t="str">
        <f t="shared" si="66"/>
        <v>女</v>
      </c>
      <c r="D301" s="11" t="s">
        <v>336</v>
      </c>
      <c r="E301" s="11" t="s">
        <v>337</v>
      </c>
      <c r="F301" s="11" t="str">
        <f t="shared" si="62"/>
        <v>xerc20250115</v>
      </c>
      <c r="G301" s="12" t="s">
        <v>362</v>
      </c>
      <c r="H301" s="21" t="s">
        <v>54</v>
      </c>
      <c r="I301" s="21" t="s">
        <v>20</v>
      </c>
      <c r="J301" s="16" t="s">
        <v>42</v>
      </c>
      <c r="K301" s="11"/>
      <c r="L301" s="12"/>
    </row>
    <row r="302" s="4" customFormat="1" ht="24" spans="1:12">
      <c r="A302" s="11">
        <v>300</v>
      </c>
      <c r="B302" s="11" t="str">
        <f>"潘念"</f>
        <v>潘念</v>
      </c>
      <c r="C302" s="11" t="str">
        <f t="shared" si="66"/>
        <v>女</v>
      </c>
      <c r="D302" s="11" t="s">
        <v>336</v>
      </c>
      <c r="E302" s="11" t="s">
        <v>337</v>
      </c>
      <c r="F302" s="11" t="str">
        <f t="shared" si="62"/>
        <v>xerc20250115</v>
      </c>
      <c r="G302" s="12" t="s">
        <v>363</v>
      </c>
      <c r="H302" s="21" t="s">
        <v>54</v>
      </c>
      <c r="I302" s="21" t="s">
        <v>69</v>
      </c>
      <c r="J302" s="16" t="s">
        <v>42</v>
      </c>
      <c r="K302" s="11"/>
      <c r="L302" s="12"/>
    </row>
    <row r="303" s="4" customFormat="1" ht="24" spans="1:12">
      <c r="A303" s="11">
        <v>301</v>
      </c>
      <c r="B303" s="11" t="str">
        <f>"张敏"</f>
        <v>张敏</v>
      </c>
      <c r="C303" s="11" t="str">
        <f t="shared" si="66"/>
        <v>女</v>
      </c>
      <c r="D303" s="11" t="s">
        <v>336</v>
      </c>
      <c r="E303" s="11" t="s">
        <v>337</v>
      </c>
      <c r="F303" s="11" t="str">
        <f t="shared" si="62"/>
        <v>xerc20250115</v>
      </c>
      <c r="G303" s="12" t="s">
        <v>364</v>
      </c>
      <c r="H303" s="21" t="s">
        <v>54</v>
      </c>
      <c r="I303" s="21" t="s">
        <v>71</v>
      </c>
      <c r="J303" s="16" t="s">
        <v>42</v>
      </c>
      <c r="K303" s="11"/>
      <c r="L303" s="12"/>
    </row>
    <row r="304" s="4" customFormat="1" ht="24" spans="1:12">
      <c r="A304" s="11">
        <v>302</v>
      </c>
      <c r="B304" s="11" t="str">
        <f>"张大弘"</f>
        <v>张大弘</v>
      </c>
      <c r="C304" s="11" t="str">
        <f>"男"</f>
        <v>男</v>
      </c>
      <c r="D304" s="11" t="s">
        <v>336</v>
      </c>
      <c r="E304" s="11" t="s">
        <v>337</v>
      </c>
      <c r="F304" s="11" t="str">
        <f t="shared" si="62"/>
        <v>xerc20250115</v>
      </c>
      <c r="G304" s="12" t="s">
        <v>365</v>
      </c>
      <c r="H304" s="21" t="s">
        <v>54</v>
      </c>
      <c r="I304" s="21" t="s">
        <v>22</v>
      </c>
      <c r="J304" s="16" t="s">
        <v>42</v>
      </c>
      <c r="K304" s="11"/>
      <c r="L304" s="12"/>
    </row>
    <row r="305" s="4" customFormat="1" ht="24" spans="1:12">
      <c r="A305" s="11">
        <v>303</v>
      </c>
      <c r="B305" s="11" t="str">
        <f>"彭逸凡"</f>
        <v>彭逸凡</v>
      </c>
      <c r="C305" s="11" t="str">
        <f t="shared" ref="C305:C309" si="67">"女"</f>
        <v>女</v>
      </c>
      <c r="D305" s="11" t="s">
        <v>336</v>
      </c>
      <c r="E305" s="11" t="s">
        <v>337</v>
      </c>
      <c r="F305" s="11" t="str">
        <f t="shared" si="62"/>
        <v>xerc20250115</v>
      </c>
      <c r="G305" s="12" t="s">
        <v>366</v>
      </c>
      <c r="H305" s="21" t="s">
        <v>54</v>
      </c>
      <c r="I305" s="21" t="s">
        <v>73</v>
      </c>
      <c r="J305" s="16" t="s">
        <v>42</v>
      </c>
      <c r="K305" s="11"/>
      <c r="L305" s="12"/>
    </row>
    <row r="306" s="4" customFormat="1" ht="24" spans="1:12">
      <c r="A306" s="11">
        <v>304</v>
      </c>
      <c r="B306" s="11" t="str">
        <f>"郑鸿"</f>
        <v>郑鸿</v>
      </c>
      <c r="C306" s="11" t="str">
        <f t="shared" ref="C306:C311" si="68">"男"</f>
        <v>男</v>
      </c>
      <c r="D306" s="11" t="s">
        <v>336</v>
      </c>
      <c r="E306" s="11" t="s">
        <v>337</v>
      </c>
      <c r="F306" s="11" t="str">
        <f t="shared" si="62"/>
        <v>xerc20250115</v>
      </c>
      <c r="G306" s="12" t="s">
        <v>367</v>
      </c>
      <c r="H306" s="21" t="s">
        <v>16</v>
      </c>
      <c r="I306" s="21" t="s">
        <v>24</v>
      </c>
      <c r="J306" s="16" t="s">
        <v>42</v>
      </c>
      <c r="K306" s="11"/>
      <c r="L306" s="12"/>
    </row>
    <row r="307" s="4" customFormat="1" ht="24" spans="1:12">
      <c r="A307" s="11">
        <v>305</v>
      </c>
      <c r="B307" s="11" t="str">
        <f>"徐晨阳"</f>
        <v>徐晨阳</v>
      </c>
      <c r="C307" s="11" t="str">
        <f t="shared" si="67"/>
        <v>女</v>
      </c>
      <c r="D307" s="11" t="s">
        <v>336</v>
      </c>
      <c r="E307" s="11" t="s">
        <v>337</v>
      </c>
      <c r="F307" s="11" t="str">
        <f t="shared" si="62"/>
        <v>xerc20250115</v>
      </c>
      <c r="G307" s="12" t="s">
        <v>368</v>
      </c>
      <c r="H307" s="21" t="s">
        <v>16</v>
      </c>
      <c r="I307" s="21" t="s">
        <v>40</v>
      </c>
      <c r="J307" s="16" t="s">
        <v>42</v>
      </c>
      <c r="K307" s="11"/>
      <c r="L307" s="12"/>
    </row>
    <row r="308" s="4" customFormat="1" ht="24" spans="1:12">
      <c r="A308" s="11">
        <v>306</v>
      </c>
      <c r="B308" s="11" t="str">
        <f>"刘一陈"</f>
        <v>刘一陈</v>
      </c>
      <c r="C308" s="11" t="str">
        <f t="shared" si="67"/>
        <v>女</v>
      </c>
      <c r="D308" s="11" t="s">
        <v>369</v>
      </c>
      <c r="E308" s="11" t="s">
        <v>370</v>
      </c>
      <c r="F308" s="11" t="str">
        <f t="shared" ref="F308:F320" si="69">"xerc20250116"</f>
        <v>xerc20250116</v>
      </c>
      <c r="G308" s="12" t="s">
        <v>371</v>
      </c>
      <c r="H308" s="21" t="s">
        <v>61</v>
      </c>
      <c r="I308" s="21" t="s">
        <v>65</v>
      </c>
      <c r="J308" s="16">
        <v>79</v>
      </c>
      <c r="K308" s="17">
        <f t="shared" ref="K308:K315" si="70">RANK(J308,$J$308:$J$320)</f>
        <v>1</v>
      </c>
      <c r="L308" s="10" t="s">
        <v>18</v>
      </c>
    </row>
    <row r="309" s="4" customFormat="1" ht="24" spans="1:12">
      <c r="A309" s="11">
        <v>307</v>
      </c>
      <c r="B309" s="11" t="str">
        <f>"朱银萍"</f>
        <v>朱银萍</v>
      </c>
      <c r="C309" s="11" t="str">
        <f t="shared" si="67"/>
        <v>女</v>
      </c>
      <c r="D309" s="11" t="s">
        <v>369</v>
      </c>
      <c r="E309" s="11" t="s">
        <v>370</v>
      </c>
      <c r="F309" s="11" t="str">
        <f t="shared" si="69"/>
        <v>xerc20250116</v>
      </c>
      <c r="G309" s="12" t="s">
        <v>372</v>
      </c>
      <c r="H309" s="21" t="s">
        <v>61</v>
      </c>
      <c r="I309" s="21" t="s">
        <v>69</v>
      </c>
      <c r="J309" s="16">
        <v>78</v>
      </c>
      <c r="K309" s="17">
        <f t="shared" si="70"/>
        <v>2</v>
      </c>
      <c r="L309" s="10" t="s">
        <v>18</v>
      </c>
    </row>
    <row r="310" s="4" customFormat="1" ht="24" spans="1:12">
      <c r="A310" s="11">
        <v>308</v>
      </c>
      <c r="B310" s="11" t="str">
        <f>"邓开涵"</f>
        <v>邓开涵</v>
      </c>
      <c r="C310" s="11" t="str">
        <f t="shared" si="68"/>
        <v>男</v>
      </c>
      <c r="D310" s="11" t="s">
        <v>369</v>
      </c>
      <c r="E310" s="11" t="s">
        <v>370</v>
      </c>
      <c r="F310" s="11" t="str">
        <f t="shared" si="69"/>
        <v>xerc20250116</v>
      </c>
      <c r="G310" s="12" t="s">
        <v>373</v>
      </c>
      <c r="H310" s="21" t="s">
        <v>61</v>
      </c>
      <c r="I310" s="21" t="s">
        <v>38</v>
      </c>
      <c r="J310" s="16">
        <v>75</v>
      </c>
      <c r="K310" s="17">
        <f t="shared" si="70"/>
        <v>3</v>
      </c>
      <c r="L310" s="10" t="s">
        <v>18</v>
      </c>
    </row>
    <row r="311" s="4" customFormat="1" ht="24" spans="1:12">
      <c r="A311" s="11">
        <v>309</v>
      </c>
      <c r="B311" s="11" t="str">
        <f>"曾邺庆"</f>
        <v>曾邺庆</v>
      </c>
      <c r="C311" s="11" t="str">
        <f t="shared" si="68"/>
        <v>男</v>
      </c>
      <c r="D311" s="11" t="s">
        <v>369</v>
      </c>
      <c r="E311" s="11" t="s">
        <v>370</v>
      </c>
      <c r="F311" s="11" t="str">
        <f t="shared" si="69"/>
        <v>xerc20250116</v>
      </c>
      <c r="G311" s="12" t="s">
        <v>374</v>
      </c>
      <c r="H311" s="21" t="s">
        <v>61</v>
      </c>
      <c r="I311" s="21" t="s">
        <v>36</v>
      </c>
      <c r="J311" s="16">
        <v>70</v>
      </c>
      <c r="K311" s="11">
        <f t="shared" si="70"/>
        <v>4</v>
      </c>
      <c r="L311" s="12"/>
    </row>
    <row r="312" s="4" customFormat="1" ht="24" spans="1:12">
      <c r="A312" s="11">
        <v>310</v>
      </c>
      <c r="B312" s="11" t="str">
        <f>"张琦"</f>
        <v>张琦</v>
      </c>
      <c r="C312" s="11" t="str">
        <f t="shared" ref="C312:C318" si="71">"女"</f>
        <v>女</v>
      </c>
      <c r="D312" s="11" t="s">
        <v>369</v>
      </c>
      <c r="E312" s="11" t="s">
        <v>370</v>
      </c>
      <c r="F312" s="11" t="str">
        <f t="shared" si="69"/>
        <v>xerc20250116</v>
      </c>
      <c r="G312" s="12" t="s">
        <v>375</v>
      </c>
      <c r="H312" s="21" t="s">
        <v>61</v>
      </c>
      <c r="I312" s="21" t="s">
        <v>34</v>
      </c>
      <c r="J312" s="16">
        <v>57</v>
      </c>
      <c r="K312" s="11">
        <f t="shared" si="70"/>
        <v>5</v>
      </c>
      <c r="L312" s="12"/>
    </row>
    <row r="313" s="4" customFormat="1" ht="24" spans="1:12">
      <c r="A313" s="11">
        <v>311</v>
      </c>
      <c r="B313" s="11" t="str">
        <f>"胡江明"</f>
        <v>胡江明</v>
      </c>
      <c r="C313" s="11" t="str">
        <f t="shared" ref="C313:C316" si="72">"男"</f>
        <v>男</v>
      </c>
      <c r="D313" s="11" t="s">
        <v>369</v>
      </c>
      <c r="E313" s="11" t="s">
        <v>370</v>
      </c>
      <c r="F313" s="11" t="str">
        <f t="shared" si="69"/>
        <v>xerc20250116</v>
      </c>
      <c r="G313" s="12" t="s">
        <v>376</v>
      </c>
      <c r="H313" s="21" t="s">
        <v>61</v>
      </c>
      <c r="I313" s="21" t="s">
        <v>73</v>
      </c>
      <c r="J313" s="16">
        <v>56</v>
      </c>
      <c r="K313" s="11">
        <f t="shared" si="70"/>
        <v>6</v>
      </c>
      <c r="L313" s="12"/>
    </row>
    <row r="314" s="4" customFormat="1" ht="24" spans="1:12">
      <c r="A314" s="11">
        <v>312</v>
      </c>
      <c r="B314" s="11" t="str">
        <f>"张秀平"</f>
        <v>张秀平</v>
      </c>
      <c r="C314" s="11" t="str">
        <f t="shared" si="71"/>
        <v>女</v>
      </c>
      <c r="D314" s="11" t="s">
        <v>369</v>
      </c>
      <c r="E314" s="11" t="s">
        <v>370</v>
      </c>
      <c r="F314" s="11" t="str">
        <f t="shared" si="69"/>
        <v>xerc20250116</v>
      </c>
      <c r="G314" s="12" t="s">
        <v>377</v>
      </c>
      <c r="H314" s="21" t="s">
        <v>61</v>
      </c>
      <c r="I314" s="21" t="s">
        <v>63</v>
      </c>
      <c r="J314" s="16">
        <v>54</v>
      </c>
      <c r="K314" s="11">
        <f t="shared" si="70"/>
        <v>7</v>
      </c>
      <c r="L314" s="12"/>
    </row>
    <row r="315" s="4" customFormat="1" ht="24" spans="1:12">
      <c r="A315" s="11">
        <v>313</v>
      </c>
      <c r="B315" s="11" t="str">
        <f>"王德开"</f>
        <v>王德开</v>
      </c>
      <c r="C315" s="11" t="str">
        <f t="shared" si="72"/>
        <v>男</v>
      </c>
      <c r="D315" s="11" t="s">
        <v>369</v>
      </c>
      <c r="E315" s="11" t="s">
        <v>370</v>
      </c>
      <c r="F315" s="11" t="str">
        <f t="shared" si="69"/>
        <v>xerc20250116</v>
      </c>
      <c r="G315" s="12" t="s">
        <v>378</v>
      </c>
      <c r="H315" s="21" t="s">
        <v>61</v>
      </c>
      <c r="I315" s="21" t="s">
        <v>71</v>
      </c>
      <c r="J315" s="16">
        <v>50</v>
      </c>
      <c r="K315" s="11">
        <f t="shared" si="70"/>
        <v>8</v>
      </c>
      <c r="L315" s="12"/>
    </row>
    <row r="316" s="4" customFormat="1" ht="24" spans="1:12">
      <c r="A316" s="11">
        <v>314</v>
      </c>
      <c r="B316" s="11" t="str">
        <f>"梁波"</f>
        <v>梁波</v>
      </c>
      <c r="C316" s="11" t="str">
        <f t="shared" si="72"/>
        <v>男</v>
      </c>
      <c r="D316" s="11" t="s">
        <v>369</v>
      </c>
      <c r="E316" s="11" t="s">
        <v>370</v>
      </c>
      <c r="F316" s="11" t="str">
        <f t="shared" si="69"/>
        <v>xerc20250116</v>
      </c>
      <c r="G316" s="12" t="s">
        <v>379</v>
      </c>
      <c r="H316" s="21" t="s">
        <v>61</v>
      </c>
      <c r="I316" s="21" t="s">
        <v>28</v>
      </c>
      <c r="J316" s="16" t="s">
        <v>42</v>
      </c>
      <c r="K316" s="11"/>
      <c r="L316" s="12"/>
    </row>
    <row r="317" s="4" customFormat="1" ht="24" spans="1:12">
      <c r="A317" s="11">
        <v>315</v>
      </c>
      <c r="B317" s="11" t="str">
        <f>"向佳敏"</f>
        <v>向佳敏</v>
      </c>
      <c r="C317" s="11" t="str">
        <f t="shared" si="71"/>
        <v>女</v>
      </c>
      <c r="D317" s="11" t="s">
        <v>369</v>
      </c>
      <c r="E317" s="11" t="s">
        <v>370</v>
      </c>
      <c r="F317" s="11" t="str">
        <f t="shared" si="69"/>
        <v>xerc20250116</v>
      </c>
      <c r="G317" s="12" t="s">
        <v>380</v>
      </c>
      <c r="H317" s="21" t="s">
        <v>61</v>
      </c>
      <c r="I317" s="21" t="s">
        <v>32</v>
      </c>
      <c r="J317" s="16" t="s">
        <v>42</v>
      </c>
      <c r="K317" s="11"/>
      <c r="L317" s="12"/>
    </row>
    <row r="318" s="4" customFormat="1" ht="24" spans="1:12">
      <c r="A318" s="11">
        <v>316</v>
      </c>
      <c r="B318" s="11" t="str">
        <f>"王杏"</f>
        <v>王杏</v>
      </c>
      <c r="C318" s="11" t="str">
        <f t="shared" si="71"/>
        <v>女</v>
      </c>
      <c r="D318" s="11" t="s">
        <v>369</v>
      </c>
      <c r="E318" s="11" t="s">
        <v>370</v>
      </c>
      <c r="F318" s="11" t="str">
        <f t="shared" si="69"/>
        <v>xerc20250116</v>
      </c>
      <c r="G318" s="12" t="s">
        <v>381</v>
      </c>
      <c r="H318" s="21" t="s">
        <v>61</v>
      </c>
      <c r="I318" s="21" t="s">
        <v>67</v>
      </c>
      <c r="J318" s="16" t="s">
        <v>42</v>
      </c>
      <c r="K318" s="11"/>
      <c r="L318" s="12"/>
    </row>
    <row r="319" s="4" customFormat="1" ht="24" spans="1:12">
      <c r="A319" s="11">
        <v>317</v>
      </c>
      <c r="B319" s="11" t="str">
        <f>"李清照"</f>
        <v>李清照</v>
      </c>
      <c r="C319" s="11" t="str">
        <f t="shared" ref="C319:C325" si="73">"男"</f>
        <v>男</v>
      </c>
      <c r="D319" s="11" t="s">
        <v>369</v>
      </c>
      <c r="E319" s="11" t="s">
        <v>370</v>
      </c>
      <c r="F319" s="11" t="str">
        <f t="shared" si="69"/>
        <v>xerc20250116</v>
      </c>
      <c r="G319" s="12" t="s">
        <v>382</v>
      </c>
      <c r="H319" s="21" t="s">
        <v>61</v>
      </c>
      <c r="I319" s="21" t="s">
        <v>20</v>
      </c>
      <c r="J319" s="16" t="s">
        <v>42</v>
      </c>
      <c r="K319" s="11"/>
      <c r="L319" s="12"/>
    </row>
    <row r="320" s="4" customFormat="1" ht="24" spans="1:12">
      <c r="A320" s="11">
        <v>318</v>
      </c>
      <c r="B320" s="11" t="str">
        <f>"李座铭"</f>
        <v>李座铭</v>
      </c>
      <c r="C320" s="11" t="str">
        <f t="shared" si="73"/>
        <v>男</v>
      </c>
      <c r="D320" s="11" t="s">
        <v>369</v>
      </c>
      <c r="E320" s="11" t="s">
        <v>370</v>
      </c>
      <c r="F320" s="11" t="str">
        <f t="shared" si="69"/>
        <v>xerc20250116</v>
      </c>
      <c r="G320" s="12" t="s">
        <v>383</v>
      </c>
      <c r="H320" s="21" t="s">
        <v>61</v>
      </c>
      <c r="I320" s="21" t="s">
        <v>22</v>
      </c>
      <c r="J320" s="16" t="s">
        <v>42</v>
      </c>
      <c r="K320" s="11"/>
      <c r="L320" s="12"/>
    </row>
    <row r="321" s="4" customFormat="1" ht="24" spans="1:12">
      <c r="A321" s="11">
        <v>319</v>
      </c>
      <c r="B321" s="11" t="str">
        <f>"牟瑶"</f>
        <v>牟瑶</v>
      </c>
      <c r="C321" s="11" t="str">
        <f>"女"</f>
        <v>女</v>
      </c>
      <c r="D321" s="11" t="s">
        <v>384</v>
      </c>
      <c r="E321" s="11" t="s">
        <v>385</v>
      </c>
      <c r="F321" s="11" t="str">
        <f t="shared" ref="F321:F354" si="74">"xerc20250117"</f>
        <v>xerc20250117</v>
      </c>
      <c r="G321" s="12" t="s">
        <v>386</v>
      </c>
      <c r="H321" s="21" t="s">
        <v>56</v>
      </c>
      <c r="I321" s="21" t="s">
        <v>38</v>
      </c>
      <c r="J321" s="16">
        <v>87</v>
      </c>
      <c r="K321" s="17">
        <f t="shared" ref="K321:K338" si="75">RANK(J321,$J$321:$J$354)</f>
        <v>1</v>
      </c>
      <c r="L321" s="10" t="s">
        <v>18</v>
      </c>
    </row>
    <row r="322" s="4" customFormat="1" ht="24" spans="1:12">
      <c r="A322" s="11">
        <v>320</v>
      </c>
      <c r="B322" s="11" t="str">
        <f>"刘奎"</f>
        <v>刘奎</v>
      </c>
      <c r="C322" s="11" t="str">
        <f t="shared" si="73"/>
        <v>男</v>
      </c>
      <c r="D322" s="11" t="s">
        <v>384</v>
      </c>
      <c r="E322" s="11" t="s">
        <v>385</v>
      </c>
      <c r="F322" s="11" t="str">
        <f t="shared" si="74"/>
        <v>xerc20250117</v>
      </c>
      <c r="G322" s="12" t="s">
        <v>387</v>
      </c>
      <c r="H322" s="21" t="s">
        <v>16</v>
      </c>
      <c r="I322" s="21" t="s">
        <v>67</v>
      </c>
      <c r="J322" s="16">
        <v>81</v>
      </c>
      <c r="K322" s="17">
        <f t="shared" si="75"/>
        <v>2</v>
      </c>
      <c r="L322" s="10" t="s">
        <v>18</v>
      </c>
    </row>
    <row r="323" s="4" customFormat="1" ht="24" spans="1:12">
      <c r="A323" s="11">
        <v>321</v>
      </c>
      <c r="B323" s="11" t="str">
        <f>"邓永彪"</f>
        <v>邓永彪</v>
      </c>
      <c r="C323" s="11" t="str">
        <f t="shared" si="73"/>
        <v>男</v>
      </c>
      <c r="D323" s="11" t="s">
        <v>384</v>
      </c>
      <c r="E323" s="11" t="s">
        <v>385</v>
      </c>
      <c r="F323" s="11" t="str">
        <f t="shared" si="74"/>
        <v>xerc20250117</v>
      </c>
      <c r="G323" s="12" t="s">
        <v>388</v>
      </c>
      <c r="H323" s="21" t="s">
        <v>56</v>
      </c>
      <c r="I323" s="21" t="s">
        <v>46</v>
      </c>
      <c r="J323" s="16">
        <v>77</v>
      </c>
      <c r="K323" s="17">
        <f t="shared" si="75"/>
        <v>3</v>
      </c>
      <c r="L323" s="10" t="s">
        <v>18</v>
      </c>
    </row>
    <row r="324" s="4" customFormat="1" ht="24" spans="1:12">
      <c r="A324" s="11">
        <v>322</v>
      </c>
      <c r="B324" s="11" t="str">
        <f>"刘明鑫"</f>
        <v>刘明鑫</v>
      </c>
      <c r="C324" s="11" t="str">
        <f t="shared" si="73"/>
        <v>男</v>
      </c>
      <c r="D324" s="11" t="s">
        <v>384</v>
      </c>
      <c r="E324" s="11" t="s">
        <v>385</v>
      </c>
      <c r="F324" s="11" t="str">
        <f t="shared" si="74"/>
        <v>xerc20250117</v>
      </c>
      <c r="G324" s="12" t="s">
        <v>389</v>
      </c>
      <c r="H324" s="21" t="s">
        <v>56</v>
      </c>
      <c r="I324" s="21" t="s">
        <v>48</v>
      </c>
      <c r="J324" s="16">
        <v>77</v>
      </c>
      <c r="K324" s="17">
        <f t="shared" si="75"/>
        <v>3</v>
      </c>
      <c r="L324" s="10" t="s">
        <v>18</v>
      </c>
    </row>
    <row r="325" s="4" customFormat="1" ht="24" spans="1:12">
      <c r="A325" s="11">
        <v>323</v>
      </c>
      <c r="B325" s="11" t="str">
        <f>"胡赵军"</f>
        <v>胡赵军</v>
      </c>
      <c r="C325" s="11" t="str">
        <f t="shared" si="73"/>
        <v>男</v>
      </c>
      <c r="D325" s="11" t="s">
        <v>384</v>
      </c>
      <c r="E325" s="11" t="s">
        <v>385</v>
      </c>
      <c r="F325" s="11" t="str">
        <f t="shared" si="74"/>
        <v>xerc20250117</v>
      </c>
      <c r="G325" s="12" t="s">
        <v>390</v>
      </c>
      <c r="H325" s="21" t="s">
        <v>56</v>
      </c>
      <c r="I325" s="21" t="s">
        <v>71</v>
      </c>
      <c r="J325" s="16">
        <v>76</v>
      </c>
      <c r="K325" s="11">
        <f t="shared" si="75"/>
        <v>5</v>
      </c>
      <c r="L325" s="12"/>
    </row>
    <row r="326" s="4" customFormat="1" ht="24" spans="1:12">
      <c r="A326" s="11">
        <v>324</v>
      </c>
      <c r="B326" s="11" t="str">
        <f>"蒋江梅"</f>
        <v>蒋江梅</v>
      </c>
      <c r="C326" s="11" t="str">
        <f t="shared" ref="C326:C328" si="76">"女"</f>
        <v>女</v>
      </c>
      <c r="D326" s="11" t="s">
        <v>384</v>
      </c>
      <c r="E326" s="11" t="s">
        <v>385</v>
      </c>
      <c r="F326" s="11" t="str">
        <f t="shared" si="74"/>
        <v>xerc20250117</v>
      </c>
      <c r="G326" s="12" t="s">
        <v>391</v>
      </c>
      <c r="H326" s="21" t="s">
        <v>56</v>
      </c>
      <c r="I326" s="21" t="s">
        <v>36</v>
      </c>
      <c r="J326" s="16">
        <v>72</v>
      </c>
      <c r="K326" s="11">
        <f t="shared" si="75"/>
        <v>6</v>
      </c>
      <c r="L326" s="12"/>
    </row>
    <row r="327" s="4" customFormat="1" ht="24" spans="1:12">
      <c r="A327" s="11">
        <v>325</v>
      </c>
      <c r="B327" s="11" t="str">
        <f>"杨畅"</f>
        <v>杨畅</v>
      </c>
      <c r="C327" s="11" t="str">
        <f t="shared" si="76"/>
        <v>女</v>
      </c>
      <c r="D327" s="11" t="s">
        <v>384</v>
      </c>
      <c r="E327" s="11" t="s">
        <v>385</v>
      </c>
      <c r="F327" s="11" t="str">
        <f t="shared" si="74"/>
        <v>xerc20250117</v>
      </c>
      <c r="G327" s="12" t="s">
        <v>392</v>
      </c>
      <c r="H327" s="21" t="s">
        <v>56</v>
      </c>
      <c r="I327" s="21" t="s">
        <v>73</v>
      </c>
      <c r="J327" s="16">
        <v>71</v>
      </c>
      <c r="K327" s="11">
        <f t="shared" si="75"/>
        <v>7</v>
      </c>
      <c r="L327" s="12"/>
    </row>
    <row r="328" s="4" customFormat="1" ht="24" spans="1:12">
      <c r="A328" s="11">
        <v>326</v>
      </c>
      <c r="B328" s="11" t="str">
        <f>"丁晓凤"</f>
        <v>丁晓凤</v>
      </c>
      <c r="C328" s="11" t="str">
        <f t="shared" si="76"/>
        <v>女</v>
      </c>
      <c r="D328" s="11" t="s">
        <v>384</v>
      </c>
      <c r="E328" s="11" t="s">
        <v>385</v>
      </c>
      <c r="F328" s="11" t="str">
        <f t="shared" si="74"/>
        <v>xerc20250117</v>
      </c>
      <c r="G328" s="12" t="s">
        <v>393</v>
      </c>
      <c r="H328" s="21" t="s">
        <v>56</v>
      </c>
      <c r="I328" s="21" t="s">
        <v>67</v>
      </c>
      <c r="J328" s="16">
        <v>70</v>
      </c>
      <c r="K328" s="11">
        <f t="shared" si="75"/>
        <v>8</v>
      </c>
      <c r="L328" s="12"/>
    </row>
    <row r="329" s="4" customFormat="1" ht="24" spans="1:12">
      <c r="A329" s="11">
        <v>327</v>
      </c>
      <c r="B329" s="11" t="str">
        <f>"唐杰"</f>
        <v>唐杰</v>
      </c>
      <c r="C329" s="11" t="str">
        <f t="shared" ref="C329:C334" si="77">"男"</f>
        <v>男</v>
      </c>
      <c r="D329" s="11" t="s">
        <v>384</v>
      </c>
      <c r="E329" s="11" t="s">
        <v>385</v>
      </c>
      <c r="F329" s="11" t="str">
        <f t="shared" si="74"/>
        <v>xerc20250117</v>
      </c>
      <c r="G329" s="12" t="s">
        <v>394</v>
      </c>
      <c r="H329" s="21" t="s">
        <v>16</v>
      </c>
      <c r="I329" s="21" t="s">
        <v>63</v>
      </c>
      <c r="J329" s="16">
        <v>68</v>
      </c>
      <c r="K329" s="11">
        <f t="shared" si="75"/>
        <v>9</v>
      </c>
      <c r="L329" s="12"/>
    </row>
    <row r="330" s="4" customFormat="1" ht="24" spans="1:12">
      <c r="A330" s="11">
        <v>328</v>
      </c>
      <c r="B330" s="11" t="str">
        <f>"罗倩"</f>
        <v>罗倩</v>
      </c>
      <c r="C330" s="11" t="str">
        <f t="shared" ref="C330:C333" si="78">"女"</f>
        <v>女</v>
      </c>
      <c r="D330" s="11" t="s">
        <v>384</v>
      </c>
      <c r="E330" s="11" t="s">
        <v>385</v>
      </c>
      <c r="F330" s="11" t="str">
        <f t="shared" si="74"/>
        <v>xerc20250117</v>
      </c>
      <c r="G330" s="12" t="s">
        <v>395</v>
      </c>
      <c r="H330" s="21" t="s">
        <v>56</v>
      </c>
      <c r="I330" s="21" t="s">
        <v>17</v>
      </c>
      <c r="J330" s="16">
        <v>66</v>
      </c>
      <c r="K330" s="11">
        <f t="shared" si="75"/>
        <v>10</v>
      </c>
      <c r="L330" s="12"/>
    </row>
    <row r="331" s="4" customFormat="1" ht="24" spans="1:12">
      <c r="A331" s="11">
        <v>329</v>
      </c>
      <c r="B331" s="11" t="str">
        <f>"王慧"</f>
        <v>王慧</v>
      </c>
      <c r="C331" s="11" t="str">
        <f t="shared" si="78"/>
        <v>女</v>
      </c>
      <c r="D331" s="11" t="s">
        <v>384</v>
      </c>
      <c r="E331" s="11" t="s">
        <v>385</v>
      </c>
      <c r="F331" s="11" t="str">
        <f t="shared" si="74"/>
        <v>xerc20250117</v>
      </c>
      <c r="G331" s="12" t="s">
        <v>396</v>
      </c>
      <c r="H331" s="21" t="s">
        <v>56</v>
      </c>
      <c r="I331" s="21" t="s">
        <v>20</v>
      </c>
      <c r="J331" s="16">
        <v>66</v>
      </c>
      <c r="K331" s="11">
        <f t="shared" si="75"/>
        <v>10</v>
      </c>
      <c r="L331" s="12"/>
    </row>
    <row r="332" s="4" customFormat="1" ht="24" spans="1:12">
      <c r="A332" s="11">
        <v>330</v>
      </c>
      <c r="B332" s="11" t="str">
        <f>"王渝超"</f>
        <v>王渝超</v>
      </c>
      <c r="C332" s="11" t="str">
        <f t="shared" si="77"/>
        <v>男</v>
      </c>
      <c r="D332" s="11" t="s">
        <v>384</v>
      </c>
      <c r="E332" s="11" t="s">
        <v>385</v>
      </c>
      <c r="F332" s="11" t="str">
        <f t="shared" si="74"/>
        <v>xerc20250117</v>
      </c>
      <c r="G332" s="12" t="s">
        <v>397</v>
      </c>
      <c r="H332" s="21" t="s">
        <v>56</v>
      </c>
      <c r="I332" s="21" t="s">
        <v>52</v>
      </c>
      <c r="J332" s="16">
        <v>65</v>
      </c>
      <c r="K332" s="11">
        <f t="shared" si="75"/>
        <v>12</v>
      </c>
      <c r="L332" s="12"/>
    </row>
    <row r="333" s="4" customFormat="1" ht="24" spans="1:12">
      <c r="A333" s="11">
        <v>331</v>
      </c>
      <c r="B333" s="11" t="str">
        <f>"姚娟"</f>
        <v>姚娟</v>
      </c>
      <c r="C333" s="11" t="str">
        <f t="shared" si="78"/>
        <v>女</v>
      </c>
      <c r="D333" s="11" t="s">
        <v>384</v>
      </c>
      <c r="E333" s="11" t="s">
        <v>385</v>
      </c>
      <c r="F333" s="11" t="str">
        <f t="shared" si="74"/>
        <v>xerc20250117</v>
      </c>
      <c r="G333" s="12" t="s">
        <v>398</v>
      </c>
      <c r="H333" s="21" t="s">
        <v>56</v>
      </c>
      <c r="I333" s="21" t="s">
        <v>32</v>
      </c>
      <c r="J333" s="16">
        <v>64</v>
      </c>
      <c r="K333" s="11">
        <f t="shared" si="75"/>
        <v>13</v>
      </c>
      <c r="L333" s="12"/>
    </row>
    <row r="334" s="4" customFormat="1" ht="24" spans="1:12">
      <c r="A334" s="11">
        <v>332</v>
      </c>
      <c r="B334" s="11" t="str">
        <f>"王浩洲"</f>
        <v>王浩洲</v>
      </c>
      <c r="C334" s="11" t="str">
        <f t="shared" si="77"/>
        <v>男</v>
      </c>
      <c r="D334" s="11" t="s">
        <v>384</v>
      </c>
      <c r="E334" s="11" t="s">
        <v>385</v>
      </c>
      <c r="F334" s="11" t="str">
        <f t="shared" si="74"/>
        <v>xerc20250117</v>
      </c>
      <c r="G334" s="12" t="s">
        <v>399</v>
      </c>
      <c r="H334" s="21" t="s">
        <v>56</v>
      </c>
      <c r="I334" s="21" t="s">
        <v>26</v>
      </c>
      <c r="J334" s="16">
        <v>60</v>
      </c>
      <c r="K334" s="11">
        <f t="shared" si="75"/>
        <v>14</v>
      </c>
      <c r="L334" s="12"/>
    </row>
    <row r="335" s="4" customFormat="1" ht="24" spans="1:12">
      <c r="A335" s="11">
        <v>333</v>
      </c>
      <c r="B335" s="11" t="str">
        <f>"卓丽"</f>
        <v>卓丽</v>
      </c>
      <c r="C335" s="11" t="str">
        <f t="shared" ref="C335:C337" si="79">"女"</f>
        <v>女</v>
      </c>
      <c r="D335" s="11" t="s">
        <v>384</v>
      </c>
      <c r="E335" s="11" t="s">
        <v>385</v>
      </c>
      <c r="F335" s="11" t="str">
        <f t="shared" si="74"/>
        <v>xerc20250117</v>
      </c>
      <c r="G335" s="12" t="s">
        <v>400</v>
      </c>
      <c r="H335" s="21" t="s">
        <v>56</v>
      </c>
      <c r="I335" s="21" t="s">
        <v>59</v>
      </c>
      <c r="J335" s="16">
        <v>60</v>
      </c>
      <c r="K335" s="11">
        <f t="shared" si="75"/>
        <v>14</v>
      </c>
      <c r="L335" s="12"/>
    </row>
    <row r="336" s="4" customFormat="1" ht="24" spans="1:12">
      <c r="A336" s="11">
        <v>334</v>
      </c>
      <c r="B336" s="11" t="str">
        <f>"李羽茜"</f>
        <v>李羽茜</v>
      </c>
      <c r="C336" s="11" t="str">
        <f t="shared" si="79"/>
        <v>女</v>
      </c>
      <c r="D336" s="11" t="s">
        <v>384</v>
      </c>
      <c r="E336" s="11" t="s">
        <v>385</v>
      </c>
      <c r="F336" s="11" t="str">
        <f t="shared" si="74"/>
        <v>xerc20250117</v>
      </c>
      <c r="G336" s="12" t="s">
        <v>401</v>
      </c>
      <c r="H336" s="21" t="s">
        <v>56</v>
      </c>
      <c r="I336" s="21" t="s">
        <v>61</v>
      </c>
      <c r="J336" s="16">
        <v>51</v>
      </c>
      <c r="K336" s="11">
        <f t="shared" si="75"/>
        <v>16</v>
      </c>
      <c r="L336" s="12"/>
    </row>
    <row r="337" s="4" customFormat="1" ht="24" spans="1:12">
      <c r="A337" s="11">
        <v>335</v>
      </c>
      <c r="B337" s="11" t="str">
        <f>"宋林春"</f>
        <v>宋林春</v>
      </c>
      <c r="C337" s="11" t="str">
        <f t="shared" si="79"/>
        <v>女</v>
      </c>
      <c r="D337" s="11" t="s">
        <v>384</v>
      </c>
      <c r="E337" s="11" t="s">
        <v>385</v>
      </c>
      <c r="F337" s="11" t="str">
        <f t="shared" si="74"/>
        <v>xerc20250117</v>
      </c>
      <c r="G337" s="12" t="s">
        <v>402</v>
      </c>
      <c r="H337" s="21" t="s">
        <v>16</v>
      </c>
      <c r="I337" s="21" t="s">
        <v>34</v>
      </c>
      <c r="J337" s="16">
        <v>50</v>
      </c>
      <c r="K337" s="11">
        <f t="shared" si="75"/>
        <v>17</v>
      </c>
      <c r="L337" s="12"/>
    </row>
    <row r="338" s="4" customFormat="1" ht="24" spans="1:12">
      <c r="A338" s="11">
        <v>336</v>
      </c>
      <c r="B338" s="11" t="str">
        <f>"张琦"</f>
        <v>张琦</v>
      </c>
      <c r="C338" s="11" t="str">
        <f>"男"</f>
        <v>男</v>
      </c>
      <c r="D338" s="11" t="s">
        <v>384</v>
      </c>
      <c r="E338" s="11" t="s">
        <v>385</v>
      </c>
      <c r="F338" s="11" t="str">
        <f t="shared" si="74"/>
        <v>xerc20250117</v>
      </c>
      <c r="G338" s="12" t="s">
        <v>403</v>
      </c>
      <c r="H338" s="21" t="s">
        <v>16</v>
      </c>
      <c r="I338" s="21" t="s">
        <v>32</v>
      </c>
      <c r="J338" s="16">
        <v>45</v>
      </c>
      <c r="K338" s="11">
        <f t="shared" si="75"/>
        <v>18</v>
      </c>
      <c r="L338" s="12"/>
    </row>
    <row r="339" s="4" customFormat="1" ht="24" spans="1:12">
      <c r="A339" s="11">
        <v>337</v>
      </c>
      <c r="B339" s="11" t="str">
        <f>"刘璐"</f>
        <v>刘璐</v>
      </c>
      <c r="C339" s="11" t="str">
        <f t="shared" ref="C339:C345" si="80">"女"</f>
        <v>女</v>
      </c>
      <c r="D339" s="11" t="s">
        <v>384</v>
      </c>
      <c r="E339" s="11" t="s">
        <v>385</v>
      </c>
      <c r="F339" s="11" t="str">
        <f t="shared" si="74"/>
        <v>xerc20250117</v>
      </c>
      <c r="G339" s="12" t="s">
        <v>404</v>
      </c>
      <c r="H339" s="21" t="s">
        <v>56</v>
      </c>
      <c r="I339" s="21" t="s">
        <v>44</v>
      </c>
      <c r="J339" s="16" t="s">
        <v>42</v>
      </c>
      <c r="K339" s="11"/>
      <c r="L339" s="12"/>
    </row>
    <row r="340" s="4" customFormat="1" ht="24" spans="1:12">
      <c r="A340" s="11">
        <v>338</v>
      </c>
      <c r="B340" s="11" t="str">
        <f>"夏青"</f>
        <v>夏青</v>
      </c>
      <c r="C340" s="11" t="str">
        <f t="shared" si="80"/>
        <v>女</v>
      </c>
      <c r="D340" s="11" t="s">
        <v>384</v>
      </c>
      <c r="E340" s="11" t="s">
        <v>385</v>
      </c>
      <c r="F340" s="11" t="str">
        <f t="shared" si="74"/>
        <v>xerc20250117</v>
      </c>
      <c r="G340" s="12" t="s">
        <v>405</v>
      </c>
      <c r="H340" s="21" t="s">
        <v>56</v>
      </c>
      <c r="I340" s="21" t="s">
        <v>50</v>
      </c>
      <c r="J340" s="16" t="s">
        <v>42</v>
      </c>
      <c r="K340" s="11"/>
      <c r="L340" s="12"/>
    </row>
    <row r="341" s="4" customFormat="1" ht="24" spans="1:12">
      <c r="A341" s="11">
        <v>339</v>
      </c>
      <c r="B341" s="11" t="str">
        <f>"王婧"</f>
        <v>王婧</v>
      </c>
      <c r="C341" s="11" t="str">
        <f t="shared" si="80"/>
        <v>女</v>
      </c>
      <c r="D341" s="11" t="s">
        <v>384</v>
      </c>
      <c r="E341" s="11" t="s">
        <v>385</v>
      </c>
      <c r="F341" s="11" t="str">
        <f t="shared" si="74"/>
        <v>xerc20250117</v>
      </c>
      <c r="G341" s="12" t="s">
        <v>406</v>
      </c>
      <c r="H341" s="21" t="s">
        <v>56</v>
      </c>
      <c r="I341" s="21" t="s">
        <v>30</v>
      </c>
      <c r="J341" s="16" t="s">
        <v>42</v>
      </c>
      <c r="K341" s="11"/>
      <c r="L341" s="12"/>
    </row>
    <row r="342" s="4" customFormat="1" ht="24" spans="1:12">
      <c r="A342" s="11">
        <v>340</v>
      </c>
      <c r="B342" s="11" t="str">
        <f>"陈莉"</f>
        <v>陈莉</v>
      </c>
      <c r="C342" s="11" t="str">
        <f t="shared" si="80"/>
        <v>女</v>
      </c>
      <c r="D342" s="11" t="s">
        <v>384</v>
      </c>
      <c r="E342" s="11" t="s">
        <v>385</v>
      </c>
      <c r="F342" s="11" t="str">
        <f t="shared" si="74"/>
        <v>xerc20250117</v>
      </c>
      <c r="G342" s="12" t="s">
        <v>407</v>
      </c>
      <c r="H342" s="21" t="s">
        <v>56</v>
      </c>
      <c r="I342" s="21" t="s">
        <v>54</v>
      </c>
      <c r="J342" s="16" t="s">
        <v>42</v>
      </c>
      <c r="K342" s="11"/>
      <c r="L342" s="12"/>
    </row>
    <row r="343" s="4" customFormat="1" ht="24" spans="1:12">
      <c r="A343" s="11">
        <v>341</v>
      </c>
      <c r="B343" s="11" t="str">
        <f>"舒玉玲"</f>
        <v>舒玉玲</v>
      </c>
      <c r="C343" s="11" t="str">
        <f t="shared" si="80"/>
        <v>女</v>
      </c>
      <c r="D343" s="11" t="s">
        <v>384</v>
      </c>
      <c r="E343" s="11" t="s">
        <v>385</v>
      </c>
      <c r="F343" s="11" t="str">
        <f t="shared" si="74"/>
        <v>xerc20250117</v>
      </c>
      <c r="G343" s="12" t="s">
        <v>408</v>
      </c>
      <c r="H343" s="21" t="s">
        <v>56</v>
      </c>
      <c r="I343" s="21" t="s">
        <v>56</v>
      </c>
      <c r="J343" s="16" t="s">
        <v>42</v>
      </c>
      <c r="K343" s="11"/>
      <c r="L343" s="12"/>
    </row>
    <row r="344" s="4" customFormat="1" ht="24" spans="1:12">
      <c r="A344" s="11">
        <v>342</v>
      </c>
      <c r="B344" s="11" t="str">
        <f>"唐晓艳"</f>
        <v>唐晓艳</v>
      </c>
      <c r="C344" s="11" t="str">
        <f t="shared" si="80"/>
        <v>女</v>
      </c>
      <c r="D344" s="11" t="s">
        <v>384</v>
      </c>
      <c r="E344" s="11" t="s">
        <v>385</v>
      </c>
      <c r="F344" s="11" t="str">
        <f t="shared" si="74"/>
        <v>xerc20250117</v>
      </c>
      <c r="G344" s="12" t="s">
        <v>409</v>
      </c>
      <c r="H344" s="21" t="s">
        <v>56</v>
      </c>
      <c r="I344" s="21" t="s">
        <v>16</v>
      </c>
      <c r="J344" s="16" t="s">
        <v>42</v>
      </c>
      <c r="K344" s="11"/>
      <c r="L344" s="12"/>
    </row>
    <row r="345" s="4" customFormat="1" ht="24" spans="1:12">
      <c r="A345" s="11">
        <v>343</v>
      </c>
      <c r="B345" s="11" t="str">
        <f>"朱俊琳"</f>
        <v>朱俊琳</v>
      </c>
      <c r="C345" s="11" t="str">
        <f t="shared" si="80"/>
        <v>女</v>
      </c>
      <c r="D345" s="11" t="s">
        <v>384</v>
      </c>
      <c r="E345" s="11" t="s">
        <v>385</v>
      </c>
      <c r="F345" s="11" t="str">
        <f t="shared" si="74"/>
        <v>xerc20250117</v>
      </c>
      <c r="G345" s="12" t="s">
        <v>410</v>
      </c>
      <c r="H345" s="21" t="s">
        <v>56</v>
      </c>
      <c r="I345" s="21" t="s">
        <v>24</v>
      </c>
      <c r="J345" s="16" t="s">
        <v>42</v>
      </c>
      <c r="K345" s="11"/>
      <c r="L345" s="12"/>
    </row>
    <row r="346" s="4" customFormat="1" ht="24" spans="1:12">
      <c r="A346" s="11">
        <v>344</v>
      </c>
      <c r="B346" s="11" t="str">
        <f>"谭祖教"</f>
        <v>谭祖教</v>
      </c>
      <c r="C346" s="11" t="str">
        <f>"男"</f>
        <v>男</v>
      </c>
      <c r="D346" s="11" t="s">
        <v>384</v>
      </c>
      <c r="E346" s="11" t="s">
        <v>385</v>
      </c>
      <c r="F346" s="11" t="str">
        <f t="shared" si="74"/>
        <v>xerc20250117</v>
      </c>
      <c r="G346" s="12" t="s">
        <v>411</v>
      </c>
      <c r="H346" s="21" t="s">
        <v>56</v>
      </c>
      <c r="I346" s="21" t="s">
        <v>40</v>
      </c>
      <c r="J346" s="16" t="s">
        <v>42</v>
      </c>
      <c r="K346" s="11"/>
      <c r="L346" s="12"/>
    </row>
    <row r="347" s="4" customFormat="1" ht="24" spans="1:12">
      <c r="A347" s="11">
        <v>345</v>
      </c>
      <c r="B347" s="11" t="str">
        <f>"钟芬"</f>
        <v>钟芬</v>
      </c>
      <c r="C347" s="11" t="str">
        <f t="shared" ref="C347:C349" si="81">"女"</f>
        <v>女</v>
      </c>
      <c r="D347" s="11" t="s">
        <v>384</v>
      </c>
      <c r="E347" s="11" t="s">
        <v>385</v>
      </c>
      <c r="F347" s="11" t="str">
        <f t="shared" si="74"/>
        <v>xerc20250117</v>
      </c>
      <c r="G347" s="12" t="s">
        <v>412</v>
      </c>
      <c r="H347" s="21" t="s">
        <v>56</v>
      </c>
      <c r="I347" s="21" t="s">
        <v>28</v>
      </c>
      <c r="J347" s="16" t="s">
        <v>42</v>
      </c>
      <c r="K347" s="11"/>
      <c r="L347" s="12"/>
    </row>
    <row r="348" s="4" customFormat="1" ht="24" spans="1:12">
      <c r="A348" s="11">
        <v>346</v>
      </c>
      <c r="B348" s="11" t="str">
        <f>"谭欣"</f>
        <v>谭欣</v>
      </c>
      <c r="C348" s="11" t="str">
        <f t="shared" si="81"/>
        <v>女</v>
      </c>
      <c r="D348" s="11" t="s">
        <v>384</v>
      </c>
      <c r="E348" s="11" t="s">
        <v>385</v>
      </c>
      <c r="F348" s="11" t="str">
        <f t="shared" si="74"/>
        <v>xerc20250117</v>
      </c>
      <c r="G348" s="12" t="s">
        <v>413</v>
      </c>
      <c r="H348" s="21" t="s">
        <v>56</v>
      </c>
      <c r="I348" s="21" t="s">
        <v>63</v>
      </c>
      <c r="J348" s="16" t="s">
        <v>42</v>
      </c>
      <c r="K348" s="11"/>
      <c r="L348" s="12"/>
    </row>
    <row r="349" s="4" customFormat="1" ht="24" spans="1:12">
      <c r="A349" s="11">
        <v>347</v>
      </c>
      <c r="B349" s="11" t="str">
        <f>"曾敏"</f>
        <v>曾敏</v>
      </c>
      <c r="C349" s="11" t="str">
        <f t="shared" si="81"/>
        <v>女</v>
      </c>
      <c r="D349" s="11" t="s">
        <v>384</v>
      </c>
      <c r="E349" s="11" t="s">
        <v>385</v>
      </c>
      <c r="F349" s="11" t="str">
        <f t="shared" si="74"/>
        <v>xerc20250117</v>
      </c>
      <c r="G349" s="12" t="s">
        <v>414</v>
      </c>
      <c r="H349" s="21" t="s">
        <v>56</v>
      </c>
      <c r="I349" s="21" t="s">
        <v>34</v>
      </c>
      <c r="J349" s="16" t="s">
        <v>42</v>
      </c>
      <c r="K349" s="11"/>
      <c r="L349" s="12"/>
    </row>
    <row r="350" s="4" customFormat="1" ht="24" spans="1:12">
      <c r="A350" s="11">
        <v>348</v>
      </c>
      <c r="B350" s="11" t="str">
        <f>"杜帅霖"</f>
        <v>杜帅霖</v>
      </c>
      <c r="C350" s="11" t="str">
        <f t="shared" ref="C350:C354" si="82">"男"</f>
        <v>男</v>
      </c>
      <c r="D350" s="11" t="s">
        <v>384</v>
      </c>
      <c r="E350" s="11" t="s">
        <v>385</v>
      </c>
      <c r="F350" s="11" t="str">
        <f t="shared" si="74"/>
        <v>xerc20250117</v>
      </c>
      <c r="G350" s="12" t="s">
        <v>415</v>
      </c>
      <c r="H350" s="21" t="s">
        <v>56</v>
      </c>
      <c r="I350" s="21" t="s">
        <v>65</v>
      </c>
      <c r="J350" s="16" t="s">
        <v>42</v>
      </c>
      <c r="K350" s="11"/>
      <c r="L350" s="12"/>
    </row>
    <row r="351" s="4" customFormat="1" ht="24" spans="1:12">
      <c r="A351" s="11">
        <v>349</v>
      </c>
      <c r="B351" s="11" t="str">
        <f>"牟婷"</f>
        <v>牟婷</v>
      </c>
      <c r="C351" s="11" t="str">
        <f>"女"</f>
        <v>女</v>
      </c>
      <c r="D351" s="11" t="s">
        <v>384</v>
      </c>
      <c r="E351" s="11" t="s">
        <v>385</v>
      </c>
      <c r="F351" s="11" t="str">
        <f t="shared" si="74"/>
        <v>xerc20250117</v>
      </c>
      <c r="G351" s="12" t="s">
        <v>416</v>
      </c>
      <c r="H351" s="21" t="s">
        <v>56</v>
      </c>
      <c r="I351" s="21" t="s">
        <v>69</v>
      </c>
      <c r="J351" s="16" t="s">
        <v>42</v>
      </c>
      <c r="K351" s="11"/>
      <c r="L351" s="12"/>
    </row>
    <row r="352" s="4" customFormat="1" ht="24" spans="1:12">
      <c r="A352" s="11">
        <v>350</v>
      </c>
      <c r="B352" s="11" t="str">
        <f>"王仕鹏"</f>
        <v>王仕鹏</v>
      </c>
      <c r="C352" s="11" t="str">
        <f t="shared" si="82"/>
        <v>男</v>
      </c>
      <c r="D352" s="11" t="s">
        <v>384</v>
      </c>
      <c r="E352" s="11" t="s">
        <v>385</v>
      </c>
      <c r="F352" s="11" t="str">
        <f t="shared" si="74"/>
        <v>xerc20250117</v>
      </c>
      <c r="G352" s="12" t="s">
        <v>417</v>
      </c>
      <c r="H352" s="21" t="s">
        <v>56</v>
      </c>
      <c r="I352" s="21" t="s">
        <v>22</v>
      </c>
      <c r="J352" s="16" t="s">
        <v>42</v>
      </c>
      <c r="K352" s="11"/>
      <c r="L352" s="12"/>
    </row>
    <row r="353" s="4" customFormat="1" ht="24" spans="1:12">
      <c r="A353" s="11">
        <v>351</v>
      </c>
      <c r="B353" s="11" t="str">
        <f>"贺红枝"</f>
        <v>贺红枝</v>
      </c>
      <c r="C353" s="11" t="str">
        <f>"女"</f>
        <v>女</v>
      </c>
      <c r="D353" s="11" t="s">
        <v>384</v>
      </c>
      <c r="E353" s="11" t="s">
        <v>385</v>
      </c>
      <c r="F353" s="11" t="str">
        <f t="shared" si="74"/>
        <v>xerc20250117</v>
      </c>
      <c r="G353" s="12" t="s">
        <v>418</v>
      </c>
      <c r="H353" s="21" t="s">
        <v>16</v>
      </c>
      <c r="I353" s="21" t="s">
        <v>28</v>
      </c>
      <c r="J353" s="16" t="s">
        <v>42</v>
      </c>
      <c r="K353" s="11"/>
      <c r="L353" s="12"/>
    </row>
    <row r="354" s="4" customFormat="1" ht="24" spans="1:12">
      <c r="A354" s="11">
        <v>352</v>
      </c>
      <c r="B354" s="11" t="str">
        <f>"况秀平"</f>
        <v>况秀平</v>
      </c>
      <c r="C354" s="11" t="str">
        <f t="shared" si="82"/>
        <v>男</v>
      </c>
      <c r="D354" s="11" t="s">
        <v>384</v>
      </c>
      <c r="E354" s="11" t="s">
        <v>385</v>
      </c>
      <c r="F354" s="11" t="str">
        <f t="shared" si="74"/>
        <v>xerc20250117</v>
      </c>
      <c r="G354" s="12" t="s">
        <v>419</v>
      </c>
      <c r="H354" s="21" t="s">
        <v>16</v>
      </c>
      <c r="I354" s="21" t="s">
        <v>65</v>
      </c>
      <c r="J354" s="16" t="s">
        <v>42</v>
      </c>
      <c r="K354" s="11"/>
      <c r="L354" s="12"/>
    </row>
  </sheetData>
  <autoFilter xmlns:etc="http://www.wps.cn/officeDocument/2017/etCustomData" ref="A2:L354" etc:filterBottomFollowUsedRange="0">
    <extLst/>
  </autoFilter>
  <mergeCells count="1">
    <mergeCell ref="A1:L1"/>
  </mergeCells>
  <pageMargins left="0.751388888888889" right="0.751388888888889" top="1" bottom="0.354166666666667" header="0.5" footer="0.236111111111111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袁昌鄂</cp:lastModifiedBy>
  <dcterms:created xsi:type="dcterms:W3CDTF">2025-05-24T08:01:55Z</dcterms:created>
  <dcterms:modified xsi:type="dcterms:W3CDTF">2025-05-24T09:03:33Z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5F6B6BA92AEA438C8E717917F823A852_11</vt:lpwstr>
  </property>
  <property fmtid="{D5CDD505-2E9C-101B-9397-08002B2CF9AE}" pid="3" name="KSOProductBuildVer">
    <vt:lpwstr>2052-12.1.0.21171</vt:lpwstr>
  </property>
</Properties>
</file>